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drawings/drawing8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227254\Desktop\Desktop\"/>
    </mc:Choice>
  </mc:AlternateContent>
  <bookViews>
    <workbookView xWindow="360" yWindow="60" windowWidth="11340" windowHeight="6030" tabRatio="874" firstSheet="1" activeTab="1"/>
  </bookViews>
  <sheets>
    <sheet name="CONSOLIDADA" sheetId="19" state="hidden" r:id="rId1"/>
    <sheet name="LISTA CMC" sheetId="20" r:id="rId2"/>
    <sheet name="LISTA GENERICOS" sheetId="22" r:id="rId3"/>
    <sheet name="LISTA ONCO" sheetId="21" r:id="rId4"/>
    <sheet name="LISTA BIOTECH" sheetId="23" r:id="rId5"/>
    <sheet name="LISTA CH" sheetId="24" r:id="rId6"/>
    <sheet name="LISTA NOVA 17% ICMS - FARMA" sheetId="5" state="hidden" r:id="rId7"/>
    <sheet name="LISTA NOVA 12% ICMS - FARMA" sheetId="6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0" hidden="1">CONSOLIDADA!$A$1:$AH$369</definedName>
    <definedName name="_xlnm.Print_Area" localSheetId="7">'LISTA NOVA 12% ICMS - FARMA'!$A$1:$I$124</definedName>
    <definedName name="_xlnm.Print_Area" localSheetId="6">'LISTA NOVA 17% ICMS - FARMA'!$A$1:$I$128</definedName>
    <definedName name="_xlnm.Print_Titles" localSheetId="7">'LISTA NOVA 12% ICMS - FARMA'!$1:$1</definedName>
    <definedName name="_xlnm.Print_Titles" localSheetId="6">'LISTA NOVA 17% ICMS - FARMA'!$1:$1</definedName>
  </definedNames>
  <calcPr calcId="152511"/>
</workbook>
</file>

<file path=xl/calcChain.xml><?xml version="1.0" encoding="utf-8"?>
<calcChain xmlns="http://schemas.openxmlformats.org/spreadsheetml/2006/main">
  <c r="P9" i="21" l="1"/>
  <c r="O9" i="21"/>
  <c r="O8" i="21"/>
  <c r="P8" i="21" s="1"/>
  <c r="H9" i="21"/>
  <c r="M12" i="22"/>
  <c r="I24" i="22"/>
  <c r="K35" i="22"/>
  <c r="L35" i="22" s="1"/>
  <c r="H55" i="22"/>
  <c r="F55" i="22" s="1"/>
  <c r="K74" i="22"/>
  <c r="H75" i="22"/>
  <c r="I80" i="22"/>
  <c r="J80" i="22" s="1"/>
  <c r="K84" i="22"/>
  <c r="K100" i="22"/>
  <c r="L100" i="22" s="1"/>
  <c r="I16" i="23"/>
  <c r="E20" i="23"/>
  <c r="F20" i="23" s="1"/>
  <c r="K26" i="23"/>
  <c r="K28" i="23"/>
  <c r="H31" i="23"/>
  <c r="K40" i="23"/>
  <c r="L40" i="23" s="1"/>
  <c r="H11" i="24"/>
  <c r="H14" i="24"/>
  <c r="K20" i="24"/>
  <c r="K30" i="24"/>
  <c r="I35" i="24"/>
  <c r="K39" i="24"/>
  <c r="K43" i="24"/>
  <c r="L43" i="24" s="1"/>
  <c r="K50" i="24"/>
  <c r="K59" i="24"/>
  <c r="L59" i="24" s="1"/>
  <c r="M79" i="24"/>
  <c r="K79" i="24"/>
  <c r="I79" i="24"/>
  <c r="E79" i="24"/>
  <c r="M78" i="24"/>
  <c r="K78" i="24"/>
  <c r="I78" i="24"/>
  <c r="E78" i="24"/>
  <c r="M71" i="24"/>
  <c r="M64" i="24"/>
  <c r="K64" i="24"/>
  <c r="I64" i="24"/>
  <c r="H64" i="24"/>
  <c r="E64" i="24"/>
  <c r="K62" i="24"/>
  <c r="L62" i="24" s="1"/>
  <c r="L57" i="24"/>
  <c r="M57" i="24"/>
  <c r="K53" i="24"/>
  <c r="L53" i="24" s="1"/>
  <c r="K51" i="24"/>
  <c r="K46" i="24"/>
  <c r="K45" i="24"/>
  <c r="I37" i="24"/>
  <c r="K36" i="24"/>
  <c r="J29" i="24"/>
  <c r="K29" i="24"/>
  <c r="E22" i="24"/>
  <c r="N19" i="24"/>
  <c r="K18" i="24"/>
  <c r="L18" i="24" s="1"/>
  <c r="H12" i="24"/>
  <c r="H10" i="24"/>
  <c r="L9" i="24"/>
  <c r="J9" i="24"/>
  <c r="H9" i="24"/>
  <c r="K42" i="23"/>
  <c r="M34" i="23"/>
  <c r="K34" i="23"/>
  <c r="E34" i="23"/>
  <c r="K32" i="23"/>
  <c r="L32" i="23" s="1"/>
  <c r="N31" i="23"/>
  <c r="I29" i="23"/>
  <c r="I27" i="23"/>
  <c r="H25" i="23"/>
  <c r="F25" i="23" s="1"/>
  <c r="N23" i="23"/>
  <c r="K23" i="23"/>
  <c r="K22" i="23"/>
  <c r="K20" i="23"/>
  <c r="L20" i="23" s="1"/>
  <c r="K18" i="23"/>
  <c r="K16" i="23"/>
  <c r="L16" i="23" s="1"/>
  <c r="H15" i="23"/>
  <c r="K14" i="23"/>
  <c r="L14" i="23" s="1"/>
  <c r="M13" i="23"/>
  <c r="N13" i="23" s="1"/>
  <c r="K13" i="23"/>
  <c r="I13" i="23"/>
  <c r="J13" i="23" s="1"/>
  <c r="H13" i="23"/>
  <c r="E13" i="23"/>
  <c r="M11" i="23"/>
  <c r="N11" i="23" s="1"/>
  <c r="K11" i="23"/>
  <c r="I11" i="23"/>
  <c r="J11" i="23" s="1"/>
  <c r="H11" i="23"/>
  <c r="E11" i="23"/>
  <c r="F11" i="23" s="1"/>
  <c r="M10" i="23"/>
  <c r="N10" i="23" s="1"/>
  <c r="K10" i="23"/>
  <c r="L10" i="23" s="1"/>
  <c r="I10" i="23"/>
  <c r="H10" i="23"/>
  <c r="E10" i="23"/>
  <c r="F10" i="23" s="1"/>
  <c r="K8" i="23"/>
  <c r="K105" i="22"/>
  <c r="J103" i="22"/>
  <c r="H103" i="22"/>
  <c r="H102" i="22"/>
  <c r="E100" i="22"/>
  <c r="K93" i="22"/>
  <c r="I92" i="22"/>
  <c r="J92" i="22" s="1"/>
  <c r="F91" i="22"/>
  <c r="K89" i="22"/>
  <c r="J87" i="22"/>
  <c r="M87" i="22"/>
  <c r="F87" i="22"/>
  <c r="K85" i="22"/>
  <c r="K81" i="22"/>
  <c r="M77" i="22"/>
  <c r="N77" i="22" s="1"/>
  <c r="J70" i="22"/>
  <c r="H68" i="22"/>
  <c r="K65" i="22"/>
  <c r="F65" i="22"/>
  <c r="N62" i="22"/>
  <c r="H61" i="22"/>
  <c r="N60" i="22"/>
  <c r="K60" i="22"/>
  <c r="K58" i="22"/>
  <c r="H57" i="22"/>
  <c r="H56" i="22"/>
  <c r="H54" i="22"/>
  <c r="M52" i="22"/>
  <c r="H51" i="22"/>
  <c r="L50" i="22"/>
  <c r="E48" i="22"/>
  <c r="M44" i="22"/>
  <c r="E38" i="22"/>
  <c r="H36" i="22"/>
  <c r="H33" i="22"/>
  <c r="K32" i="22"/>
  <c r="L32" i="22" s="1"/>
  <c r="K31" i="22"/>
  <c r="H29" i="22"/>
  <c r="J27" i="22"/>
  <c r="K25" i="22"/>
  <c r="E20" i="22"/>
  <c r="F20" i="22" s="1"/>
  <c r="M19" i="22"/>
  <c r="N19" i="22" s="1"/>
  <c r="H15" i="22"/>
  <c r="E13" i="22"/>
  <c r="H11" i="22"/>
  <c r="M9" i="22"/>
  <c r="L8" i="22"/>
  <c r="H8" i="22"/>
  <c r="K8" i="21"/>
  <c r="E43" i="24" l="1"/>
  <c r="F43" i="24" s="1"/>
  <c r="E59" i="24"/>
  <c r="F59" i="24" s="1"/>
  <c r="I43" i="24"/>
  <c r="J43" i="24" s="1"/>
  <c r="H59" i="24"/>
  <c r="E18" i="24"/>
  <c r="F18" i="24" s="1"/>
  <c r="I53" i="24"/>
  <c r="J53" i="24" s="1"/>
  <c r="I59" i="24"/>
  <c r="J59" i="24" s="1"/>
  <c r="E53" i="24"/>
  <c r="F53" i="24" s="1"/>
  <c r="M20" i="24"/>
  <c r="N20" i="24" s="1"/>
  <c r="H20" i="24"/>
  <c r="H57" i="24"/>
  <c r="H62" i="24"/>
  <c r="E20" i="24"/>
  <c r="F20" i="24" s="1"/>
  <c r="I20" i="24"/>
  <c r="J20" i="24" s="1"/>
  <c r="H43" i="24"/>
  <c r="H45" i="24"/>
  <c r="E57" i="24"/>
  <c r="F57" i="24" s="1"/>
  <c r="H23" i="24"/>
  <c r="K23" i="24"/>
  <c r="L23" i="24" s="1"/>
  <c r="K40" i="24"/>
  <c r="I40" i="24"/>
  <c r="J40" i="24" s="1"/>
  <c r="E40" i="24"/>
  <c r="F40" i="24" s="1"/>
  <c r="L64" i="24"/>
  <c r="K71" i="24"/>
  <c r="H71" i="24"/>
  <c r="K8" i="24"/>
  <c r="L8" i="24" s="1"/>
  <c r="H8" i="24"/>
  <c r="E8" i="24"/>
  <c r="F8" i="24" s="1"/>
  <c r="M8" i="24"/>
  <c r="N8" i="24" s="1"/>
  <c r="I8" i="24"/>
  <c r="J8" i="24" s="1"/>
  <c r="K35" i="24"/>
  <c r="E35" i="24"/>
  <c r="F35" i="24" s="1"/>
  <c r="H35" i="24"/>
  <c r="K37" i="24"/>
  <c r="E37" i="24"/>
  <c r="F37" i="24" s="1"/>
  <c r="H37" i="24"/>
  <c r="M37" i="24"/>
  <c r="N37" i="24" s="1"/>
  <c r="J64" i="24"/>
  <c r="K15" i="24"/>
  <c r="L15" i="24" s="1"/>
  <c r="H15" i="24"/>
  <c r="E15" i="24"/>
  <c r="F15" i="24" s="1"/>
  <c r="M15" i="24"/>
  <c r="N15" i="24" s="1"/>
  <c r="H65" i="24"/>
  <c r="E65" i="24"/>
  <c r="F65" i="24" s="1"/>
  <c r="M18" i="24"/>
  <c r="N18" i="24" s="1"/>
  <c r="M30" i="24"/>
  <c r="M51" i="24"/>
  <c r="N51" i="24" s="1"/>
  <c r="I57" i="24"/>
  <c r="J57" i="24" s="1"/>
  <c r="I62" i="24"/>
  <c r="H18" i="24"/>
  <c r="H30" i="24"/>
  <c r="H51" i="24"/>
  <c r="E62" i="24"/>
  <c r="F62" i="24" s="1"/>
  <c r="K19" i="24"/>
  <c r="L19" i="24" s="1"/>
  <c r="H19" i="24"/>
  <c r="K33" i="24"/>
  <c r="E33" i="24"/>
  <c r="F33" i="24" s="1"/>
  <c r="H33" i="24"/>
  <c r="I33" i="24"/>
  <c r="J33" i="24" s="1"/>
  <c r="K11" i="24"/>
  <c r="L11" i="24" s="1"/>
  <c r="I11" i="24"/>
  <c r="J11" i="24" s="1"/>
  <c r="M11" i="24"/>
  <c r="N11" i="24" s="1"/>
  <c r="E11" i="24"/>
  <c r="F11" i="24" s="1"/>
  <c r="M33" i="24"/>
  <c r="M45" i="24"/>
  <c r="N45" i="24" s="1"/>
  <c r="I15" i="24"/>
  <c r="J15" i="24" s="1"/>
  <c r="E23" i="24"/>
  <c r="F23" i="24" s="1"/>
  <c r="M23" i="24"/>
  <c r="E30" i="24"/>
  <c r="F30" i="24" s="1"/>
  <c r="M35" i="24"/>
  <c r="E45" i="24"/>
  <c r="F45" i="24" s="1"/>
  <c r="L45" i="24"/>
  <c r="E50" i="24"/>
  <c r="F50" i="24" s="1"/>
  <c r="E51" i="24"/>
  <c r="F51" i="24" s="1"/>
  <c r="M53" i="24"/>
  <c r="I65" i="24"/>
  <c r="K65" i="24"/>
  <c r="E71" i="24"/>
  <c r="F71" i="24" s="1"/>
  <c r="I18" i="24"/>
  <c r="J18" i="24" s="1"/>
  <c r="I30" i="24"/>
  <c r="J30" i="24" s="1"/>
  <c r="L30" i="24"/>
  <c r="H40" i="24"/>
  <c r="M40" i="24"/>
  <c r="N40" i="24" s="1"/>
  <c r="M43" i="24"/>
  <c r="N43" i="24" s="1"/>
  <c r="I45" i="24"/>
  <c r="I51" i="24"/>
  <c r="L51" i="24"/>
  <c r="H53" i="24"/>
  <c r="M59" i="24"/>
  <c r="M62" i="24"/>
  <c r="N62" i="24" s="1"/>
  <c r="M65" i="24"/>
  <c r="N65" i="24" s="1"/>
  <c r="I71" i="24"/>
  <c r="M9" i="24"/>
  <c r="K10" i="24"/>
  <c r="K12" i="24"/>
  <c r="L36" i="24"/>
  <c r="L39" i="24"/>
  <c r="J35" i="24"/>
  <c r="E9" i="24"/>
  <c r="E10" i="24"/>
  <c r="I10" i="24"/>
  <c r="M10" i="24"/>
  <c r="E12" i="24"/>
  <c r="I12" i="24"/>
  <c r="M12" i="24"/>
  <c r="M17" i="24"/>
  <c r="I17" i="24"/>
  <c r="E17" i="24"/>
  <c r="K17" i="24"/>
  <c r="H17" i="24"/>
  <c r="L20" i="24"/>
  <c r="M29" i="24"/>
  <c r="E29" i="24"/>
  <c r="H29" i="24"/>
  <c r="M36" i="24"/>
  <c r="I36" i="24"/>
  <c r="E36" i="24"/>
  <c r="H36" i="24"/>
  <c r="J37" i="24"/>
  <c r="M39" i="24"/>
  <c r="I39" i="24"/>
  <c r="E39" i="24"/>
  <c r="H39" i="24"/>
  <c r="L50" i="24"/>
  <c r="F64" i="24"/>
  <c r="N64" i="24"/>
  <c r="I48" i="24"/>
  <c r="K48" i="24"/>
  <c r="M48" i="24"/>
  <c r="H48" i="24"/>
  <c r="F22" i="24"/>
  <c r="K22" i="24"/>
  <c r="I22" i="24"/>
  <c r="L29" i="24"/>
  <c r="L46" i="24"/>
  <c r="E48" i="24"/>
  <c r="M14" i="24"/>
  <c r="I14" i="24"/>
  <c r="E14" i="24"/>
  <c r="K14" i="24"/>
  <c r="H21" i="24"/>
  <c r="M21" i="24"/>
  <c r="E21" i="24"/>
  <c r="K21" i="24"/>
  <c r="I21" i="24"/>
  <c r="H22" i="24"/>
  <c r="M22" i="24"/>
  <c r="M46" i="24"/>
  <c r="I46" i="24"/>
  <c r="E46" i="24"/>
  <c r="H46" i="24"/>
  <c r="M32" i="24"/>
  <c r="I32" i="24"/>
  <c r="E32" i="24"/>
  <c r="H32" i="24"/>
  <c r="K32" i="24"/>
  <c r="M42" i="24"/>
  <c r="I42" i="24"/>
  <c r="E42" i="24"/>
  <c r="H42" i="24"/>
  <c r="K42" i="24"/>
  <c r="H47" i="24"/>
  <c r="K47" i="24"/>
  <c r="M47" i="24"/>
  <c r="E47" i="24"/>
  <c r="I47" i="24"/>
  <c r="I19" i="24"/>
  <c r="E19" i="24"/>
  <c r="I23" i="24"/>
  <c r="M34" i="24"/>
  <c r="I34" i="24"/>
  <c r="E34" i="24"/>
  <c r="H34" i="24"/>
  <c r="K34" i="24"/>
  <c r="M44" i="24"/>
  <c r="I44" i="24"/>
  <c r="E44" i="24"/>
  <c r="H44" i="24"/>
  <c r="K44" i="24"/>
  <c r="M50" i="24"/>
  <c r="I50" i="24"/>
  <c r="H50" i="24"/>
  <c r="M54" i="24"/>
  <c r="I54" i="24"/>
  <c r="E54" i="24"/>
  <c r="H54" i="24"/>
  <c r="K54" i="24"/>
  <c r="M60" i="24"/>
  <c r="I60" i="24"/>
  <c r="E60" i="24"/>
  <c r="H60" i="24"/>
  <c r="K60" i="24"/>
  <c r="M63" i="24"/>
  <c r="I63" i="24"/>
  <c r="E63" i="24"/>
  <c r="K63" i="24"/>
  <c r="H63" i="24"/>
  <c r="M52" i="24"/>
  <c r="I52" i="24"/>
  <c r="E52" i="24"/>
  <c r="H52" i="24"/>
  <c r="K52" i="24"/>
  <c r="N57" i="24"/>
  <c r="M58" i="24"/>
  <c r="I58" i="24"/>
  <c r="E58" i="24"/>
  <c r="H58" i="24"/>
  <c r="K58" i="24"/>
  <c r="N71" i="24"/>
  <c r="H72" i="24"/>
  <c r="M72" i="24"/>
  <c r="I72" i="24"/>
  <c r="E72" i="24"/>
  <c r="K72" i="24"/>
  <c r="M20" i="23"/>
  <c r="E31" i="23"/>
  <c r="F31" i="23" s="1"/>
  <c r="I26" i="23"/>
  <c r="I28" i="23"/>
  <c r="J28" i="23" s="1"/>
  <c r="M25" i="23"/>
  <c r="E28" i="23"/>
  <c r="F28" i="23" s="1"/>
  <c r="M28" i="23"/>
  <c r="N28" i="23" s="1"/>
  <c r="H8" i="23"/>
  <c r="J10" i="23"/>
  <c r="E14" i="23"/>
  <c r="F14" i="23" s="1"/>
  <c r="I14" i="23"/>
  <c r="H23" i="23"/>
  <c r="F23" i="23" s="1"/>
  <c r="K25" i="23"/>
  <c r="I40" i="23"/>
  <c r="I32" i="23"/>
  <c r="M40" i="23"/>
  <c r="N40" i="23" s="1"/>
  <c r="I8" i="23"/>
  <c r="J8" i="23" s="1"/>
  <c r="M14" i="23"/>
  <c r="J16" i="23"/>
  <c r="M16" i="23"/>
  <c r="H18" i="23"/>
  <c r="I23" i="23"/>
  <c r="J23" i="23" s="1"/>
  <c r="I25" i="23"/>
  <c r="K29" i="23"/>
  <c r="L29" i="23" s="1"/>
  <c r="E32" i="23"/>
  <c r="F32" i="23" s="1"/>
  <c r="M32" i="23"/>
  <c r="E40" i="23"/>
  <c r="F40" i="23" s="1"/>
  <c r="E8" i="23"/>
  <c r="F8" i="23" s="1"/>
  <c r="M8" i="23"/>
  <c r="N8" i="23" s="1"/>
  <c r="L13" i="23"/>
  <c r="E16" i="23"/>
  <c r="F16" i="23" s="1"/>
  <c r="I20" i="23"/>
  <c r="J20" i="23" s="1"/>
  <c r="E23" i="23"/>
  <c r="E25" i="23"/>
  <c r="H32" i="23"/>
  <c r="J27" i="23"/>
  <c r="L8" i="23"/>
  <c r="L18" i="23"/>
  <c r="F13" i="23"/>
  <c r="N20" i="23"/>
  <c r="K27" i="23"/>
  <c r="H29" i="23"/>
  <c r="L11" i="23"/>
  <c r="H22" i="23"/>
  <c r="M22" i="23"/>
  <c r="I22" i="23"/>
  <c r="E22" i="23"/>
  <c r="H28" i="23"/>
  <c r="E29" i="23"/>
  <c r="M29" i="23"/>
  <c r="J26" i="23"/>
  <c r="H27" i="23"/>
  <c r="E27" i="23"/>
  <c r="L42" i="23"/>
  <c r="M15" i="23"/>
  <c r="I15" i="23"/>
  <c r="E15" i="23"/>
  <c r="K15" i="23"/>
  <c r="L22" i="23"/>
  <c r="L26" i="23"/>
  <c r="M27" i="23"/>
  <c r="L28" i="23"/>
  <c r="J29" i="23"/>
  <c r="H14" i="23"/>
  <c r="H16" i="23"/>
  <c r="L23" i="23"/>
  <c r="E26" i="23"/>
  <c r="H26" i="23"/>
  <c r="M26" i="23"/>
  <c r="I31" i="23"/>
  <c r="K31" i="23"/>
  <c r="H42" i="23"/>
  <c r="M42" i="23"/>
  <c r="I42" i="23"/>
  <c r="E42" i="23"/>
  <c r="E18" i="23"/>
  <c r="I18" i="23"/>
  <c r="M18" i="23"/>
  <c r="H40" i="23"/>
  <c r="I20" i="22"/>
  <c r="J20" i="22" s="1"/>
  <c r="M85" i="22"/>
  <c r="N85" i="22" s="1"/>
  <c r="M89" i="22"/>
  <c r="N89" i="22" s="1"/>
  <c r="E85" i="22"/>
  <c r="F85" i="22" s="1"/>
  <c r="H32" i="22"/>
  <c r="F32" i="22" s="1"/>
  <c r="M35" i="22"/>
  <c r="N35" i="22" s="1"/>
  <c r="I57" i="22"/>
  <c r="E57" i="22"/>
  <c r="F57" i="22" s="1"/>
  <c r="H85" i="22"/>
  <c r="E87" i="22"/>
  <c r="H93" i="22"/>
  <c r="F93" i="22" s="1"/>
  <c r="M46" i="22"/>
  <c r="N46" i="22" s="1"/>
  <c r="H46" i="22"/>
  <c r="H59" i="22"/>
  <c r="M59" i="22"/>
  <c r="E59" i="22"/>
  <c r="F59" i="22" s="1"/>
  <c r="K13" i="22"/>
  <c r="L13" i="22" s="1"/>
  <c r="M13" i="22"/>
  <c r="H17" i="22"/>
  <c r="F17" i="22" s="1"/>
  <c r="K17" i="22"/>
  <c r="L17" i="22" s="1"/>
  <c r="H20" i="22"/>
  <c r="K20" i="22"/>
  <c r="L20" i="22" s="1"/>
  <c r="M20" i="22"/>
  <c r="N20" i="22" s="1"/>
  <c r="K30" i="22"/>
  <c r="L30" i="22" s="1"/>
  <c r="M30" i="22"/>
  <c r="H30" i="22"/>
  <c r="E30" i="22"/>
  <c r="I30" i="22"/>
  <c r="K80" i="22"/>
  <c r="L80" i="22" s="1"/>
  <c r="E80" i="22"/>
  <c r="H80" i="22"/>
  <c r="M80" i="22"/>
  <c r="I19" i="22"/>
  <c r="J19" i="22" s="1"/>
  <c r="E19" i="22"/>
  <c r="F19" i="22" s="1"/>
  <c r="K19" i="22"/>
  <c r="L19" i="22" s="1"/>
  <c r="H19" i="22"/>
  <c r="H24" i="22"/>
  <c r="F24" i="22" s="1"/>
  <c r="K24" i="22"/>
  <c r="L24" i="22" s="1"/>
  <c r="H13" i="22"/>
  <c r="H22" i="22"/>
  <c r="E46" i="22"/>
  <c r="F46" i="22" s="1"/>
  <c r="M68" i="22"/>
  <c r="N68" i="22" s="1"/>
  <c r="M55" i="22"/>
  <c r="N55" i="22" s="1"/>
  <c r="I100" i="22"/>
  <c r="J100" i="22" s="1"/>
  <c r="M32" i="22"/>
  <c r="E55" i="22"/>
  <c r="H81" i="22"/>
  <c r="I85" i="22"/>
  <c r="H100" i="22"/>
  <c r="I16" i="22"/>
  <c r="J16" i="22" s="1"/>
  <c r="H16" i="22"/>
  <c r="F16" i="22" s="1"/>
  <c r="E16" i="22"/>
  <c r="N52" i="22"/>
  <c r="K70" i="22"/>
  <c r="H70" i="22"/>
  <c r="I88" i="22"/>
  <c r="E88" i="22"/>
  <c r="K88" i="22"/>
  <c r="L88" i="22" s="1"/>
  <c r="H88" i="22"/>
  <c r="M88" i="22"/>
  <c r="N88" i="22" s="1"/>
  <c r="I8" i="22"/>
  <c r="K11" i="22"/>
  <c r="L11" i="22" s="1"/>
  <c r="M11" i="22"/>
  <c r="E11" i="22"/>
  <c r="F11" i="22" s="1"/>
  <c r="I11" i="22"/>
  <c r="M94" i="22"/>
  <c r="N94" i="22" s="1"/>
  <c r="E94" i="22"/>
  <c r="F94" i="22" s="1"/>
  <c r="I94" i="22"/>
  <c r="J94" i="22" s="1"/>
  <c r="K94" i="22"/>
  <c r="L94" i="22" s="1"/>
  <c r="E8" i="22"/>
  <c r="F8" i="22" s="1"/>
  <c r="M8" i="22"/>
  <c r="M16" i="22"/>
  <c r="N16" i="22" s="1"/>
  <c r="E40" i="22"/>
  <c r="F40" i="22" s="1"/>
  <c r="M40" i="22"/>
  <c r="N40" i="22" s="1"/>
  <c r="I65" i="22"/>
  <c r="J65" i="22" s="1"/>
  <c r="K22" i="22"/>
  <c r="M22" i="22"/>
  <c r="K61" i="22"/>
  <c r="I61" i="22"/>
  <c r="J61" i="22" s="1"/>
  <c r="K71" i="22"/>
  <c r="M71" i="22"/>
  <c r="E71" i="22"/>
  <c r="F71" i="22" s="1"/>
  <c r="I71" i="22"/>
  <c r="J71" i="22" s="1"/>
  <c r="K77" i="22"/>
  <c r="L77" i="22" s="1"/>
  <c r="E77" i="22"/>
  <c r="F77" i="22" s="1"/>
  <c r="I77" i="22"/>
  <c r="K82" i="22"/>
  <c r="H82" i="22"/>
  <c r="I82" i="22"/>
  <c r="J82" i="22" s="1"/>
  <c r="K103" i="22"/>
  <c r="E103" i="22"/>
  <c r="F103" i="22" s="1"/>
  <c r="M103" i="22"/>
  <c r="N103" i="22" s="1"/>
  <c r="I22" i="22"/>
  <c r="J22" i="22" s="1"/>
  <c r="E35" i="22"/>
  <c r="I35" i="22"/>
  <c r="K48" i="22"/>
  <c r="M48" i="22"/>
  <c r="N48" i="22" s="1"/>
  <c r="I48" i="22"/>
  <c r="J48" i="22" s="1"/>
  <c r="H52" i="22"/>
  <c r="E52" i="22"/>
  <c r="F52" i="22" s="1"/>
  <c r="I52" i="22"/>
  <c r="M61" i="22"/>
  <c r="N61" i="22" s="1"/>
  <c r="K68" i="22"/>
  <c r="E68" i="22"/>
  <c r="F68" i="22" s="1"/>
  <c r="I68" i="22"/>
  <c r="J68" i="22" s="1"/>
  <c r="K75" i="22"/>
  <c r="I75" i="22"/>
  <c r="J75" i="22" s="1"/>
  <c r="E75" i="22"/>
  <c r="F75" i="22" s="1"/>
  <c r="K87" i="22"/>
  <c r="H89" i="22"/>
  <c r="E89" i="22"/>
  <c r="I89" i="22"/>
  <c r="I13" i="22"/>
  <c r="E17" i="22"/>
  <c r="M17" i="22"/>
  <c r="E22" i="22"/>
  <c r="F22" i="22" s="1"/>
  <c r="E24" i="22"/>
  <c r="M24" i="22"/>
  <c r="E32" i="22"/>
  <c r="I32" i="22"/>
  <c r="H35" i="22"/>
  <c r="E61" i="22"/>
  <c r="F61" i="22" s="1"/>
  <c r="H71" i="22"/>
  <c r="H74" i="22"/>
  <c r="M75" i="22"/>
  <c r="N75" i="22" s="1"/>
  <c r="H77" i="22"/>
  <c r="E82" i="22"/>
  <c r="M82" i="22"/>
  <c r="H84" i="22"/>
  <c r="K92" i="22"/>
  <c r="L92" i="22" s="1"/>
  <c r="M92" i="22"/>
  <c r="N92" i="22" s="1"/>
  <c r="H92" i="22"/>
  <c r="F92" i="22" s="1"/>
  <c r="E92" i="22"/>
  <c r="I55" i="22"/>
  <c r="M57" i="22"/>
  <c r="N57" i="22" s="1"/>
  <c r="I59" i="22"/>
  <c r="M100" i="22"/>
  <c r="N9" i="22"/>
  <c r="L25" i="22"/>
  <c r="N12" i="22"/>
  <c r="L31" i="22"/>
  <c r="K9" i="22"/>
  <c r="F29" i="22"/>
  <c r="I42" i="22"/>
  <c r="K42" i="22"/>
  <c r="N44" i="22"/>
  <c r="F15" i="22"/>
  <c r="I25" i="22"/>
  <c r="F38" i="22"/>
  <c r="I38" i="22"/>
  <c r="K38" i="22"/>
  <c r="H44" i="22"/>
  <c r="I44" i="22"/>
  <c r="K44" i="22"/>
  <c r="I50" i="22"/>
  <c r="E50" i="22"/>
  <c r="H50" i="22"/>
  <c r="M50" i="22"/>
  <c r="F54" i="22"/>
  <c r="L58" i="22"/>
  <c r="M67" i="22"/>
  <c r="I67" i="22"/>
  <c r="E67" i="22"/>
  <c r="K67" i="22"/>
  <c r="H67" i="22"/>
  <c r="H9" i="22"/>
  <c r="N11" i="22"/>
  <c r="H12" i="22"/>
  <c r="F13" i="22"/>
  <c r="M15" i="22"/>
  <c r="K16" i="22"/>
  <c r="I17" i="22"/>
  <c r="J24" i="22"/>
  <c r="E25" i="22"/>
  <c r="H25" i="22"/>
  <c r="M25" i="22"/>
  <c r="E27" i="22"/>
  <c r="K27" i="22"/>
  <c r="H27" i="22"/>
  <c r="M27" i="22"/>
  <c r="M36" i="22"/>
  <c r="I36" i="22"/>
  <c r="E36" i="22"/>
  <c r="K36" i="22"/>
  <c r="H38" i="22"/>
  <c r="M38" i="22"/>
  <c r="I46" i="22"/>
  <c r="K46" i="22"/>
  <c r="J57" i="22"/>
  <c r="M58" i="22"/>
  <c r="I58" i="22"/>
  <c r="E58" i="22"/>
  <c r="H58" i="22"/>
  <c r="L84" i="22"/>
  <c r="K12" i="22"/>
  <c r="M31" i="22"/>
  <c r="I31" i="22"/>
  <c r="E31" i="22"/>
  <c r="E42" i="22"/>
  <c r="L60" i="22"/>
  <c r="I15" i="22"/>
  <c r="F100" i="22"/>
  <c r="L105" i="22"/>
  <c r="E9" i="22"/>
  <c r="I9" i="22"/>
  <c r="E12" i="22"/>
  <c r="I12" i="22"/>
  <c r="E15" i="22"/>
  <c r="K15" i="22"/>
  <c r="M29" i="22"/>
  <c r="I29" i="22"/>
  <c r="E29" i="22"/>
  <c r="K29" i="22"/>
  <c r="H31" i="22"/>
  <c r="M33" i="22"/>
  <c r="I33" i="22"/>
  <c r="E33" i="22"/>
  <c r="K33" i="22"/>
  <c r="H40" i="22"/>
  <c r="I40" i="22"/>
  <c r="K40" i="22"/>
  <c r="H42" i="22"/>
  <c r="M42" i="22"/>
  <c r="E44" i="22"/>
  <c r="F48" i="22"/>
  <c r="I60" i="22"/>
  <c r="E60" i="22"/>
  <c r="H60" i="22"/>
  <c r="K73" i="22"/>
  <c r="E73" i="22"/>
  <c r="M73" i="22"/>
  <c r="I73" i="22"/>
  <c r="M76" i="22"/>
  <c r="I76" i="22"/>
  <c r="E76" i="22"/>
  <c r="K76" i="22"/>
  <c r="H76" i="22"/>
  <c r="L89" i="22"/>
  <c r="M56" i="22"/>
  <c r="I56" i="22"/>
  <c r="E56" i="22"/>
  <c r="K56" i="22"/>
  <c r="L74" i="22"/>
  <c r="L81" i="22"/>
  <c r="M51" i="22"/>
  <c r="I51" i="22"/>
  <c r="E51" i="22"/>
  <c r="K51" i="22"/>
  <c r="M54" i="22"/>
  <c r="I54" i="22"/>
  <c r="E54" i="22"/>
  <c r="K54" i="22"/>
  <c r="I62" i="22"/>
  <c r="E62" i="22"/>
  <c r="H62" i="22"/>
  <c r="K62" i="22"/>
  <c r="M63" i="22"/>
  <c r="I63" i="22"/>
  <c r="E63" i="22"/>
  <c r="K63" i="22"/>
  <c r="L85" i="22"/>
  <c r="L93" i="22"/>
  <c r="K52" i="22"/>
  <c r="K55" i="22"/>
  <c r="K57" i="22"/>
  <c r="K59" i="22"/>
  <c r="L65" i="22"/>
  <c r="M70" i="22"/>
  <c r="E70" i="22"/>
  <c r="M78" i="22"/>
  <c r="I78" i="22"/>
  <c r="E78" i="22"/>
  <c r="K78" i="22"/>
  <c r="H78" i="22"/>
  <c r="E65" i="22"/>
  <c r="M65" i="22"/>
  <c r="M81" i="22"/>
  <c r="I81" i="22"/>
  <c r="E81" i="22"/>
  <c r="N87" i="22"/>
  <c r="M91" i="22"/>
  <c r="I91" i="22"/>
  <c r="K91" i="22"/>
  <c r="E91" i="22"/>
  <c r="H105" i="22"/>
  <c r="M105" i="22"/>
  <c r="I105" i="22"/>
  <c r="E105" i="22"/>
  <c r="M74" i="22"/>
  <c r="I74" i="22"/>
  <c r="E74" i="22"/>
  <c r="M84" i="22"/>
  <c r="I84" i="22"/>
  <c r="E84" i="22"/>
  <c r="M102" i="22"/>
  <c r="I102" i="22"/>
  <c r="E102" i="22"/>
  <c r="K102" i="22"/>
  <c r="M93" i="22"/>
  <c r="I93" i="22"/>
  <c r="E93" i="22"/>
  <c r="E8" i="21"/>
  <c r="F8" i="21" s="1"/>
  <c r="I8" i="21"/>
  <c r="J8" i="21" s="1"/>
  <c r="M8" i="21"/>
  <c r="N8" i="21" s="1"/>
  <c r="L8" i="21"/>
  <c r="E9" i="21"/>
  <c r="I9" i="21"/>
  <c r="M9" i="21"/>
  <c r="K9" i="21"/>
  <c r="M128" i="20"/>
  <c r="N128" i="20" s="1"/>
  <c r="K128" i="20"/>
  <c r="L128" i="20" s="1"/>
  <c r="I128" i="20"/>
  <c r="J128" i="20" s="1"/>
  <c r="H128" i="20"/>
  <c r="E128" i="20"/>
  <c r="F128" i="20" s="1"/>
  <c r="K122" i="20"/>
  <c r="L122" i="20" s="1"/>
  <c r="H116" i="20"/>
  <c r="H114" i="20"/>
  <c r="F114" i="20" s="1"/>
  <c r="J113" i="20"/>
  <c r="M113" i="20"/>
  <c r="L112" i="20"/>
  <c r="K110" i="20"/>
  <c r="I108" i="20"/>
  <c r="K105" i="20"/>
  <c r="L105" i="20" s="1"/>
  <c r="L104" i="20"/>
  <c r="I104" i="20"/>
  <c r="K99" i="20"/>
  <c r="N98" i="20"/>
  <c r="M97" i="20"/>
  <c r="N97" i="20" s="1"/>
  <c r="K93" i="20"/>
  <c r="K92" i="20"/>
  <c r="K89" i="20"/>
  <c r="M88" i="20"/>
  <c r="N88" i="20" s="1"/>
  <c r="L88" i="20"/>
  <c r="I88" i="20"/>
  <c r="H88" i="20"/>
  <c r="E88" i="20"/>
  <c r="F88" i="20" s="1"/>
  <c r="E86" i="20"/>
  <c r="F86" i="20" s="1"/>
  <c r="M85" i="20"/>
  <c r="N85" i="20" s="1"/>
  <c r="K85" i="20"/>
  <c r="I85" i="20"/>
  <c r="J85" i="20" s="1"/>
  <c r="H85" i="20"/>
  <c r="E85" i="20"/>
  <c r="K83" i="20"/>
  <c r="N82" i="20"/>
  <c r="K80" i="20"/>
  <c r="K78" i="20"/>
  <c r="L78" i="20" s="1"/>
  <c r="M76" i="20"/>
  <c r="K75" i="20"/>
  <c r="J73" i="20"/>
  <c r="E72" i="20"/>
  <c r="M71" i="20"/>
  <c r="K70" i="20"/>
  <c r="K69" i="20"/>
  <c r="L69" i="20" s="1"/>
  <c r="K66" i="20"/>
  <c r="M63" i="20"/>
  <c r="N63" i="20" s="1"/>
  <c r="K63" i="20"/>
  <c r="L63" i="20" s="1"/>
  <c r="I63" i="20"/>
  <c r="J63" i="20" s="1"/>
  <c r="H63" i="20"/>
  <c r="F63" i="20" s="1"/>
  <c r="E63" i="20"/>
  <c r="M62" i="20"/>
  <c r="K62" i="20"/>
  <c r="L62" i="20" s="1"/>
  <c r="I62" i="20"/>
  <c r="J62" i="20" s="1"/>
  <c r="H62" i="20"/>
  <c r="E62" i="20"/>
  <c r="H60" i="20"/>
  <c r="J59" i="20"/>
  <c r="M59" i="20"/>
  <c r="I57" i="20"/>
  <c r="J57" i="20" s="1"/>
  <c r="E55" i="20"/>
  <c r="F55" i="20" s="1"/>
  <c r="J54" i="20"/>
  <c r="M54" i="20"/>
  <c r="N54" i="20" s="1"/>
  <c r="H53" i="20"/>
  <c r="I52" i="20"/>
  <c r="J52" i="20" s="1"/>
  <c r="H51" i="20"/>
  <c r="M50" i="20"/>
  <c r="N50" i="20" s="1"/>
  <c r="K49" i="20"/>
  <c r="K48" i="20"/>
  <c r="K47" i="20"/>
  <c r="L46" i="20"/>
  <c r="H46" i="20"/>
  <c r="K45" i="20"/>
  <c r="H44" i="20"/>
  <c r="M42" i="20"/>
  <c r="K41" i="20"/>
  <c r="M40" i="20"/>
  <c r="K39" i="20"/>
  <c r="M38" i="20"/>
  <c r="K37" i="20"/>
  <c r="M36" i="20"/>
  <c r="K34" i="20"/>
  <c r="K33" i="20"/>
  <c r="K32" i="20"/>
  <c r="I30" i="20"/>
  <c r="N28" i="20"/>
  <c r="J28" i="20"/>
  <c r="H28" i="20"/>
  <c r="K26" i="20"/>
  <c r="M24" i="20"/>
  <c r="K24" i="20"/>
  <c r="L24" i="20" s="1"/>
  <c r="I24" i="20"/>
  <c r="J24" i="20" s="1"/>
  <c r="H24" i="20"/>
  <c r="E24" i="20"/>
  <c r="F24" i="20" s="1"/>
  <c r="M23" i="20"/>
  <c r="K23" i="20"/>
  <c r="L23" i="20" s="1"/>
  <c r="I23" i="20"/>
  <c r="H23" i="20"/>
  <c r="E23" i="20"/>
  <c r="F23" i="20" s="1"/>
  <c r="M22" i="20"/>
  <c r="N22" i="20" s="1"/>
  <c r="K22" i="20"/>
  <c r="I22" i="20"/>
  <c r="J22" i="20" s="1"/>
  <c r="H22" i="20"/>
  <c r="E22" i="20"/>
  <c r="M20" i="20"/>
  <c r="N20" i="20" s="1"/>
  <c r="K20" i="20"/>
  <c r="I20" i="20"/>
  <c r="J20" i="20" s="1"/>
  <c r="H20" i="20"/>
  <c r="E20" i="20"/>
  <c r="F20" i="20" s="1"/>
  <c r="M19" i="20"/>
  <c r="N19" i="20" s="1"/>
  <c r="K19" i="20"/>
  <c r="L19" i="20" s="1"/>
  <c r="I19" i="20"/>
  <c r="H19" i="20"/>
  <c r="E19" i="20"/>
  <c r="F19" i="20" s="1"/>
  <c r="M18" i="20"/>
  <c r="K18" i="20"/>
  <c r="I18" i="20"/>
  <c r="H18" i="20"/>
  <c r="E18" i="20"/>
  <c r="F18" i="20" s="1"/>
  <c r="K16" i="20"/>
  <c r="J15" i="20"/>
  <c r="L14" i="20"/>
  <c r="M14" i="20"/>
  <c r="K12" i="20"/>
  <c r="L11" i="20"/>
  <c r="I11" i="20"/>
  <c r="J11" i="20" s="1"/>
  <c r="F11" i="20"/>
  <c r="K9" i="20"/>
  <c r="Q87" i="19"/>
  <c r="N53" i="24" l="1"/>
  <c r="N59" i="24"/>
  <c r="L71" i="24"/>
  <c r="N30" i="24"/>
  <c r="J62" i="24"/>
  <c r="L65" i="24"/>
  <c r="N33" i="24"/>
  <c r="L37" i="24"/>
  <c r="J45" i="24"/>
  <c r="L40" i="24"/>
  <c r="J71" i="24"/>
  <c r="J51" i="24"/>
  <c r="N35" i="24"/>
  <c r="L35" i="24"/>
  <c r="J65" i="24"/>
  <c r="L33" i="24"/>
  <c r="N23" i="24"/>
  <c r="J52" i="24"/>
  <c r="N63" i="24"/>
  <c r="H55" i="24"/>
  <c r="J47" i="24"/>
  <c r="L42" i="24"/>
  <c r="J32" i="24"/>
  <c r="J46" i="24"/>
  <c r="L48" i="24"/>
  <c r="N36" i="24"/>
  <c r="F10" i="24"/>
  <c r="L60" i="24"/>
  <c r="J50" i="24"/>
  <c r="J44" i="24"/>
  <c r="L34" i="24"/>
  <c r="F47" i="24"/>
  <c r="N22" i="24"/>
  <c r="J48" i="24"/>
  <c r="L17" i="24"/>
  <c r="F12" i="24"/>
  <c r="F9" i="24"/>
  <c r="L72" i="24"/>
  <c r="N72" i="24"/>
  <c r="L58" i="24"/>
  <c r="J58" i="24"/>
  <c r="F52" i="24"/>
  <c r="N60" i="24"/>
  <c r="N50" i="24"/>
  <c r="N44" i="24"/>
  <c r="N34" i="24"/>
  <c r="J19" i="24"/>
  <c r="N47" i="24"/>
  <c r="F42" i="24"/>
  <c r="F32" i="24"/>
  <c r="F46" i="24"/>
  <c r="F21" i="24"/>
  <c r="L14" i="24"/>
  <c r="N14" i="24"/>
  <c r="F48" i="24"/>
  <c r="N48" i="24"/>
  <c r="J39" i="24"/>
  <c r="F29" i="24"/>
  <c r="F17" i="24"/>
  <c r="N12" i="24"/>
  <c r="J10" i="24"/>
  <c r="L10" i="24"/>
  <c r="F58" i="24"/>
  <c r="L52" i="24"/>
  <c r="L63" i="24"/>
  <c r="N54" i="24"/>
  <c r="F19" i="24"/>
  <c r="L47" i="24"/>
  <c r="J42" i="24"/>
  <c r="L32" i="24"/>
  <c r="F39" i="24"/>
  <c r="N29" i="24"/>
  <c r="J17" i="24"/>
  <c r="J72" i="24"/>
  <c r="N52" i="24"/>
  <c r="F63" i="24"/>
  <c r="J60" i="24"/>
  <c r="F54" i="24"/>
  <c r="L44" i="24"/>
  <c r="J34" i="24"/>
  <c r="N42" i="24"/>
  <c r="N32" i="24"/>
  <c r="N46" i="24"/>
  <c r="L21" i="24"/>
  <c r="J14" i="24"/>
  <c r="J22" i="24"/>
  <c r="F36" i="24"/>
  <c r="N17" i="24"/>
  <c r="N10" i="24"/>
  <c r="L12" i="24"/>
  <c r="F72" i="24"/>
  <c r="N58" i="24"/>
  <c r="J63" i="24"/>
  <c r="F60" i="24"/>
  <c r="L54" i="24"/>
  <c r="J54" i="24"/>
  <c r="F44" i="24"/>
  <c r="F34" i="24"/>
  <c r="J23" i="24"/>
  <c r="J21" i="24"/>
  <c r="N21" i="24"/>
  <c r="F14" i="24"/>
  <c r="L22" i="24"/>
  <c r="N39" i="24"/>
  <c r="J36" i="24"/>
  <c r="J12" i="24"/>
  <c r="N9" i="24"/>
  <c r="N14" i="23"/>
  <c r="L25" i="23"/>
  <c r="J40" i="23"/>
  <c r="J14" i="23"/>
  <c r="N25" i="23"/>
  <c r="N32" i="23"/>
  <c r="J32" i="23"/>
  <c r="J25" i="23"/>
  <c r="N16" i="23"/>
  <c r="N42" i="23"/>
  <c r="N29" i="23"/>
  <c r="N22" i="23"/>
  <c r="F42" i="23"/>
  <c r="J31" i="23"/>
  <c r="J15" i="23"/>
  <c r="F29" i="23"/>
  <c r="F22" i="23"/>
  <c r="J42" i="23"/>
  <c r="F15" i="23"/>
  <c r="J22" i="23"/>
  <c r="F18" i="23"/>
  <c r="L31" i="23"/>
  <c r="N26" i="23"/>
  <c r="F27" i="23"/>
  <c r="N18" i="23"/>
  <c r="L27" i="23"/>
  <c r="J18" i="23"/>
  <c r="F26" i="23"/>
  <c r="N27" i="23"/>
  <c r="L15" i="23"/>
  <c r="N15" i="23"/>
  <c r="N13" i="22"/>
  <c r="N82" i="22"/>
  <c r="N30" i="22"/>
  <c r="N71" i="22"/>
  <c r="L82" i="22"/>
  <c r="L70" i="22"/>
  <c r="N59" i="22"/>
  <c r="N32" i="22"/>
  <c r="J59" i="22"/>
  <c r="J13" i="22"/>
  <c r="J89" i="22"/>
  <c r="J30" i="22"/>
  <c r="J85" i="22"/>
  <c r="N80" i="22"/>
  <c r="F80" i="22"/>
  <c r="L48" i="22"/>
  <c r="F81" i="22"/>
  <c r="F30" i="22"/>
  <c r="N100" i="22"/>
  <c r="N17" i="22"/>
  <c r="N22" i="22"/>
  <c r="J8" i="22"/>
  <c r="J88" i="22"/>
  <c r="J77" i="22"/>
  <c r="F88" i="22"/>
  <c r="N8" i="22"/>
  <c r="J55" i="22"/>
  <c r="F35" i="22"/>
  <c r="L87" i="22"/>
  <c r="L75" i="22"/>
  <c r="L68" i="22"/>
  <c r="L22" i="22"/>
  <c r="L71" i="22"/>
  <c r="J11" i="22"/>
  <c r="J35" i="22"/>
  <c r="F82" i="22"/>
  <c r="J32" i="22"/>
  <c r="N24" i="22"/>
  <c r="F89" i="22"/>
  <c r="J52" i="22"/>
  <c r="L103" i="22"/>
  <c r="L61" i="22"/>
  <c r="N102" i="22"/>
  <c r="F74" i="22"/>
  <c r="F105" i="22"/>
  <c r="N81" i="22"/>
  <c r="N65" i="22"/>
  <c r="L63" i="22"/>
  <c r="F76" i="22"/>
  <c r="L73" i="22"/>
  <c r="L40" i="22"/>
  <c r="F31" i="22"/>
  <c r="L15" i="22"/>
  <c r="N31" i="22"/>
  <c r="J46" i="22"/>
  <c r="J36" i="22"/>
  <c r="L16" i="22"/>
  <c r="F67" i="22"/>
  <c r="L38" i="22"/>
  <c r="J25" i="22"/>
  <c r="J93" i="22"/>
  <c r="L62" i="22"/>
  <c r="J54" i="22"/>
  <c r="N42" i="22"/>
  <c r="L36" i="22"/>
  <c r="N93" i="22"/>
  <c r="J74" i="22"/>
  <c r="J105" i="22"/>
  <c r="L91" i="22"/>
  <c r="L78" i="22"/>
  <c r="N78" i="22"/>
  <c r="L59" i="22"/>
  <c r="L54" i="22"/>
  <c r="N54" i="22"/>
  <c r="J51" i="22"/>
  <c r="J56" i="22"/>
  <c r="J76" i="22"/>
  <c r="F73" i="22"/>
  <c r="J33" i="22"/>
  <c r="J29" i="22"/>
  <c r="J9" i="22"/>
  <c r="F36" i="22"/>
  <c r="L27" i="22"/>
  <c r="F25" i="22"/>
  <c r="N15" i="22"/>
  <c r="J67" i="22"/>
  <c r="N50" i="22"/>
  <c r="J50" i="22"/>
  <c r="L44" i="22"/>
  <c r="J42" i="22"/>
  <c r="L102" i="22"/>
  <c r="N84" i="22"/>
  <c r="N91" i="22"/>
  <c r="L55" i="22"/>
  <c r="N63" i="22"/>
  <c r="F51" i="22"/>
  <c r="F56" i="22"/>
  <c r="J73" i="22"/>
  <c r="F44" i="22"/>
  <c r="F33" i="22"/>
  <c r="F9" i="22"/>
  <c r="F42" i="22"/>
  <c r="F58" i="22"/>
  <c r="N58" i="22"/>
  <c r="N27" i="22"/>
  <c r="F50" i="22"/>
  <c r="F102" i="22"/>
  <c r="F84" i="22"/>
  <c r="J78" i="22"/>
  <c r="F70" i="22"/>
  <c r="L52" i="22"/>
  <c r="F63" i="22"/>
  <c r="J62" i="22"/>
  <c r="N73" i="22"/>
  <c r="F60" i="22"/>
  <c r="J40" i="22"/>
  <c r="F12" i="22"/>
  <c r="N36" i="22"/>
  <c r="N25" i="22"/>
  <c r="J38" i="22"/>
  <c r="L42" i="22"/>
  <c r="L9" i="22"/>
  <c r="J102" i="22"/>
  <c r="J84" i="22"/>
  <c r="N74" i="22"/>
  <c r="N105" i="22"/>
  <c r="J91" i="22"/>
  <c r="J81" i="22"/>
  <c r="F78" i="22"/>
  <c r="N70" i="22"/>
  <c r="L57" i="22"/>
  <c r="J63" i="22"/>
  <c r="F62" i="22"/>
  <c r="L51" i="22"/>
  <c r="N51" i="22"/>
  <c r="L56" i="22"/>
  <c r="N56" i="22"/>
  <c r="L76" i="22"/>
  <c r="N76" i="22"/>
  <c r="J60" i="22"/>
  <c r="L33" i="22"/>
  <c r="N33" i="22"/>
  <c r="L29" i="22"/>
  <c r="N29" i="22"/>
  <c r="J12" i="22"/>
  <c r="J15" i="22"/>
  <c r="J31" i="22"/>
  <c r="L12" i="22"/>
  <c r="J58" i="22"/>
  <c r="L46" i="22"/>
  <c r="N38" i="22"/>
  <c r="F27" i="22"/>
  <c r="J17" i="22"/>
  <c r="L67" i="22"/>
  <c r="N67" i="22"/>
  <c r="J44" i="22"/>
  <c r="N9" i="21"/>
  <c r="J9" i="21"/>
  <c r="L9" i="21"/>
  <c r="F9" i="21"/>
  <c r="M105" i="20"/>
  <c r="I33" i="20"/>
  <c r="J33" i="20" s="1"/>
  <c r="K113" i="20"/>
  <c r="L113" i="20" s="1"/>
  <c r="H104" i="20"/>
  <c r="K71" i="20"/>
  <c r="E30" i="20"/>
  <c r="M70" i="20"/>
  <c r="N70" i="20" s="1"/>
  <c r="H99" i="20"/>
  <c r="E105" i="20"/>
  <c r="F105" i="20" s="1"/>
  <c r="M48" i="20"/>
  <c r="N48" i="20" s="1"/>
  <c r="M114" i="20"/>
  <c r="L18" i="20"/>
  <c r="M32" i="20"/>
  <c r="E37" i="20"/>
  <c r="H66" i="20"/>
  <c r="H69" i="20"/>
  <c r="F69" i="20" s="1"/>
  <c r="H75" i="20"/>
  <c r="H93" i="20"/>
  <c r="E99" i="20"/>
  <c r="F99" i="20" s="1"/>
  <c r="I39" i="20"/>
  <c r="J39" i="20" s="1"/>
  <c r="M51" i="20"/>
  <c r="M55" i="20"/>
  <c r="I89" i="20"/>
  <c r="J89" i="20" s="1"/>
  <c r="I97" i="20"/>
  <c r="M9" i="20"/>
  <c r="H26" i="20"/>
  <c r="H37" i="20"/>
  <c r="M39" i="20"/>
  <c r="E46" i="20"/>
  <c r="F46" i="20" s="1"/>
  <c r="K51" i="20"/>
  <c r="L51" i="20" s="1"/>
  <c r="E66" i="20"/>
  <c r="F66" i="20" s="1"/>
  <c r="H78" i="20"/>
  <c r="M89" i="20"/>
  <c r="H92" i="20"/>
  <c r="I99" i="20"/>
  <c r="J99" i="20" s="1"/>
  <c r="E116" i="20"/>
  <c r="F116" i="20" s="1"/>
  <c r="H39" i="20"/>
  <c r="F39" i="20" s="1"/>
  <c r="H47" i="20"/>
  <c r="H52" i="20"/>
  <c r="H54" i="20"/>
  <c r="H55" i="20"/>
  <c r="I69" i="20"/>
  <c r="J69" i="20" s="1"/>
  <c r="E89" i="20"/>
  <c r="F89" i="20" s="1"/>
  <c r="H89" i="20"/>
  <c r="E97" i="20"/>
  <c r="F97" i="20" s="1"/>
  <c r="H97" i="20"/>
  <c r="H9" i="20"/>
  <c r="M37" i="20"/>
  <c r="E39" i="20"/>
  <c r="E51" i="20"/>
  <c r="F51" i="20" s="1"/>
  <c r="E52" i="20"/>
  <c r="F52" i="20" s="1"/>
  <c r="E54" i="20"/>
  <c r="F54" i="20" s="1"/>
  <c r="M78" i="20"/>
  <c r="M92" i="20"/>
  <c r="N92" i="20" s="1"/>
  <c r="K97" i="20"/>
  <c r="L97" i="20" s="1"/>
  <c r="M104" i="20"/>
  <c r="N104" i="20" s="1"/>
  <c r="E113" i="20"/>
  <c r="H113" i="20"/>
  <c r="E122" i="20"/>
  <c r="F122" i="20" s="1"/>
  <c r="N59" i="20"/>
  <c r="I50" i="20"/>
  <c r="K50" i="20"/>
  <c r="K95" i="20"/>
  <c r="H95" i="20"/>
  <c r="I95" i="20"/>
  <c r="E95" i="20"/>
  <c r="F95" i="20" s="1"/>
  <c r="K101" i="20"/>
  <c r="H101" i="20"/>
  <c r="F101" i="20" s="1"/>
  <c r="I14" i="20"/>
  <c r="I34" i="20"/>
  <c r="I41" i="20"/>
  <c r="K57" i="20"/>
  <c r="M57" i="20"/>
  <c r="N57" i="20" s="1"/>
  <c r="K96" i="20"/>
  <c r="H96" i="20"/>
  <c r="H14" i="20"/>
  <c r="H16" i="20"/>
  <c r="M30" i="20"/>
  <c r="E32" i="20"/>
  <c r="F32" i="20" s="1"/>
  <c r="I32" i="20"/>
  <c r="E41" i="20"/>
  <c r="K44" i="20"/>
  <c r="L44" i="20" s="1"/>
  <c r="E48" i="20"/>
  <c r="F48" i="20" s="1"/>
  <c r="E50" i="20"/>
  <c r="F50" i="20" s="1"/>
  <c r="K52" i="20"/>
  <c r="M52" i="20"/>
  <c r="E57" i="20"/>
  <c r="F57" i="20" s="1"/>
  <c r="K86" i="20"/>
  <c r="L86" i="20" s="1"/>
  <c r="M86" i="20"/>
  <c r="H86" i="20"/>
  <c r="I86" i="20"/>
  <c r="J97" i="20"/>
  <c r="K102" i="20"/>
  <c r="L102" i="20" s="1"/>
  <c r="H102" i="20"/>
  <c r="I102" i="20"/>
  <c r="E102" i="20"/>
  <c r="K108" i="20"/>
  <c r="L108" i="20" s="1"/>
  <c r="E108" i="20"/>
  <c r="F108" i="20" s="1"/>
  <c r="M108" i="20"/>
  <c r="H72" i="20"/>
  <c r="I72" i="20"/>
  <c r="J72" i="20" s="1"/>
  <c r="K72" i="20"/>
  <c r="L72" i="20" s="1"/>
  <c r="K74" i="20"/>
  <c r="L74" i="20" s="1"/>
  <c r="M74" i="20"/>
  <c r="H74" i="20"/>
  <c r="E74" i="20"/>
  <c r="F74" i="20" s="1"/>
  <c r="K77" i="20"/>
  <c r="L77" i="20" s="1"/>
  <c r="H77" i="20"/>
  <c r="K98" i="20"/>
  <c r="H98" i="20"/>
  <c r="E98" i="20"/>
  <c r="F98" i="20" s="1"/>
  <c r="E14" i="20"/>
  <c r="F14" i="20" s="1"/>
  <c r="K28" i="20"/>
  <c r="E44" i="20"/>
  <c r="F44" i="20" s="1"/>
  <c r="M44" i="20"/>
  <c r="K82" i="20"/>
  <c r="L82" i="20" s="1"/>
  <c r="H82" i="20"/>
  <c r="I82" i="20"/>
  <c r="E82" i="20"/>
  <c r="L85" i="20"/>
  <c r="M95" i="20"/>
  <c r="N24" i="20"/>
  <c r="E28" i="20"/>
  <c r="F28" i="20" s="1"/>
  <c r="M34" i="20"/>
  <c r="M41" i="20"/>
  <c r="I48" i="20"/>
  <c r="J48" i="20" s="1"/>
  <c r="L48" i="20"/>
  <c r="E9" i="20"/>
  <c r="F9" i="20" s="1"/>
  <c r="I9" i="20"/>
  <c r="H12" i="20"/>
  <c r="F12" i="20" s="1"/>
  <c r="J19" i="20"/>
  <c r="L22" i="20"/>
  <c r="H32" i="20"/>
  <c r="M33" i="20"/>
  <c r="E34" i="20"/>
  <c r="F34" i="20" s="1"/>
  <c r="I37" i="20"/>
  <c r="J37" i="20" s="1"/>
  <c r="H41" i="20"/>
  <c r="F41" i="20" s="1"/>
  <c r="I44" i="20"/>
  <c r="M46" i="20"/>
  <c r="H48" i="20"/>
  <c r="K55" i="20"/>
  <c r="I55" i="20"/>
  <c r="J55" i="20" s="1"/>
  <c r="K68" i="20"/>
  <c r="L68" i="20" s="1"/>
  <c r="H68" i="20"/>
  <c r="M72" i="20"/>
  <c r="I74" i="20"/>
  <c r="J74" i="20" s="1"/>
  <c r="K76" i="20"/>
  <c r="L76" i="20" s="1"/>
  <c r="H76" i="20"/>
  <c r="I76" i="20"/>
  <c r="J76" i="20" s="1"/>
  <c r="E76" i="20"/>
  <c r="F76" i="20" s="1"/>
  <c r="K87" i="20"/>
  <c r="H87" i="20"/>
  <c r="K91" i="20"/>
  <c r="H91" i="20"/>
  <c r="F91" i="20" s="1"/>
  <c r="I98" i="20"/>
  <c r="J98" i="20" s="1"/>
  <c r="M102" i="20"/>
  <c r="I66" i="20"/>
  <c r="J66" i="20" s="1"/>
  <c r="M66" i="20"/>
  <c r="N66" i="20" s="1"/>
  <c r="M99" i="20"/>
  <c r="I114" i="20"/>
  <c r="K114" i="20"/>
  <c r="L114" i="20" s="1"/>
  <c r="I122" i="20"/>
  <c r="J122" i="20" s="1"/>
  <c r="L66" i="20"/>
  <c r="E69" i="20"/>
  <c r="M69" i="20"/>
  <c r="N69" i="20" s="1"/>
  <c r="E78" i="20"/>
  <c r="F78" i="20" s="1"/>
  <c r="I78" i="20"/>
  <c r="E92" i="20"/>
  <c r="I92" i="20"/>
  <c r="I105" i="20"/>
  <c r="E114" i="20"/>
  <c r="M122" i="20"/>
  <c r="L12" i="20"/>
  <c r="L20" i="20"/>
  <c r="L34" i="20"/>
  <c r="N36" i="20"/>
  <c r="L37" i="20"/>
  <c r="L49" i="20"/>
  <c r="N14" i="20"/>
  <c r="L26" i="20"/>
  <c r="N42" i="20"/>
  <c r="F22" i="20"/>
  <c r="J23" i="20"/>
  <c r="N23" i="20"/>
  <c r="L32" i="20"/>
  <c r="N40" i="20"/>
  <c r="L41" i="20"/>
  <c r="L45" i="20"/>
  <c r="L9" i="20"/>
  <c r="L16" i="20"/>
  <c r="J18" i="20"/>
  <c r="N18" i="20"/>
  <c r="M15" i="20"/>
  <c r="K15" i="20"/>
  <c r="H15" i="20"/>
  <c r="E15" i="20"/>
  <c r="N38" i="20"/>
  <c r="L39" i="20"/>
  <c r="K42" i="20"/>
  <c r="M56" i="20"/>
  <c r="I56" i="20"/>
  <c r="E56" i="20"/>
  <c r="M11" i="20"/>
  <c r="E11" i="20"/>
  <c r="E12" i="20"/>
  <c r="I12" i="20"/>
  <c r="M12" i="20"/>
  <c r="E16" i="20"/>
  <c r="I16" i="20"/>
  <c r="M16" i="20"/>
  <c r="E26" i="20"/>
  <c r="I26" i="20"/>
  <c r="M26" i="20"/>
  <c r="K30" i="20"/>
  <c r="E33" i="20"/>
  <c r="L33" i="20"/>
  <c r="H36" i="20"/>
  <c r="H38" i="20"/>
  <c r="H40" i="20"/>
  <c r="H42" i="20"/>
  <c r="E45" i="20"/>
  <c r="H45" i="20"/>
  <c r="M45" i="20"/>
  <c r="H49" i="20"/>
  <c r="I51" i="20"/>
  <c r="E53" i="20"/>
  <c r="M53" i="20"/>
  <c r="K54" i="20"/>
  <c r="E59" i="20"/>
  <c r="K59" i="20"/>
  <c r="H59" i="20"/>
  <c r="F62" i="20"/>
  <c r="M65" i="20"/>
  <c r="I65" i="20"/>
  <c r="E65" i="20"/>
  <c r="K65" i="20"/>
  <c r="H65" i="20"/>
  <c r="L80" i="20"/>
  <c r="L83" i="20"/>
  <c r="K36" i="20"/>
  <c r="K40" i="20"/>
  <c r="L70" i="20"/>
  <c r="H34" i="20"/>
  <c r="I45" i="20"/>
  <c r="M49" i="20"/>
  <c r="I49" i="20"/>
  <c r="E49" i="20"/>
  <c r="I53" i="20"/>
  <c r="N71" i="20"/>
  <c r="M73" i="20"/>
  <c r="K73" i="20"/>
  <c r="H73" i="20"/>
  <c r="E73" i="20"/>
  <c r="K38" i="20"/>
  <c r="N76" i="20"/>
  <c r="E36" i="20"/>
  <c r="I36" i="20"/>
  <c r="E38" i="20"/>
  <c r="I38" i="20"/>
  <c r="E40" i="20"/>
  <c r="I40" i="20"/>
  <c r="E42" i="20"/>
  <c r="I42" i="20"/>
  <c r="I46" i="20"/>
  <c r="M47" i="20"/>
  <c r="I47" i="20"/>
  <c r="E47" i="20"/>
  <c r="L47" i="20"/>
  <c r="K53" i="20"/>
  <c r="H56" i="20"/>
  <c r="K56" i="20"/>
  <c r="M60" i="20"/>
  <c r="I60" i="20"/>
  <c r="E60" i="20"/>
  <c r="K60" i="20"/>
  <c r="N62" i="20"/>
  <c r="M80" i="20"/>
  <c r="I80" i="20"/>
  <c r="E80" i="20"/>
  <c r="H80" i="20"/>
  <c r="L93" i="20"/>
  <c r="M68" i="20"/>
  <c r="I68" i="20"/>
  <c r="E68" i="20"/>
  <c r="I71" i="20"/>
  <c r="M75" i="20"/>
  <c r="I75" i="20"/>
  <c r="E75" i="20"/>
  <c r="L75" i="20"/>
  <c r="F85" i="20"/>
  <c r="J88" i="20"/>
  <c r="L110" i="20"/>
  <c r="E71" i="20"/>
  <c r="H71" i="20"/>
  <c r="M83" i="20"/>
  <c r="I83" i="20"/>
  <c r="E83" i="20"/>
  <c r="H83" i="20"/>
  <c r="L92" i="20"/>
  <c r="L95" i="20"/>
  <c r="J104" i="20"/>
  <c r="E70" i="20"/>
  <c r="I70" i="20"/>
  <c r="M77" i="20"/>
  <c r="I77" i="20"/>
  <c r="E77" i="20"/>
  <c r="L89" i="20"/>
  <c r="L99" i="20"/>
  <c r="M107" i="20"/>
  <c r="I107" i="20"/>
  <c r="E107" i="20"/>
  <c r="H107" i="20"/>
  <c r="K107" i="20"/>
  <c r="E87" i="20"/>
  <c r="I87" i="20"/>
  <c r="M87" i="20"/>
  <c r="E91" i="20"/>
  <c r="I91" i="20"/>
  <c r="M91" i="20"/>
  <c r="E93" i="20"/>
  <c r="I93" i="20"/>
  <c r="M93" i="20"/>
  <c r="E96" i="20"/>
  <c r="I96" i="20"/>
  <c r="M96" i="20"/>
  <c r="J108" i="20"/>
  <c r="M110" i="20"/>
  <c r="I110" i="20"/>
  <c r="E110" i="20"/>
  <c r="H110" i="20"/>
  <c r="M112" i="20"/>
  <c r="I112" i="20"/>
  <c r="H112" i="20"/>
  <c r="E112" i="20"/>
  <c r="N113" i="20"/>
  <c r="E101" i="20"/>
  <c r="I101" i="20"/>
  <c r="M101" i="20"/>
  <c r="E104" i="20"/>
  <c r="H105" i="20"/>
  <c r="H108" i="20"/>
  <c r="I116" i="20"/>
  <c r="K116" i="20"/>
  <c r="M116" i="20"/>
  <c r="H122" i="20"/>
  <c r="L55" i="24" l="1"/>
  <c r="F55" i="24"/>
  <c r="J55" i="24"/>
  <c r="N55" i="24"/>
  <c r="N105" i="20"/>
  <c r="N55" i="20"/>
  <c r="N78" i="20"/>
  <c r="N108" i="20"/>
  <c r="N114" i="20"/>
  <c r="L87" i="20"/>
  <c r="L71" i="20"/>
  <c r="N32" i="20"/>
  <c r="J105" i="20"/>
  <c r="N39" i="20"/>
  <c r="L55" i="20"/>
  <c r="F37" i="20"/>
  <c r="L101" i="20"/>
  <c r="N74" i="20"/>
  <c r="J34" i="20"/>
  <c r="N89" i="20"/>
  <c r="J44" i="20"/>
  <c r="N37" i="20"/>
  <c r="N34" i="20"/>
  <c r="N9" i="20"/>
  <c r="N51" i="20"/>
  <c r="F113" i="20"/>
  <c r="F92" i="20"/>
  <c r="J82" i="20"/>
  <c r="J95" i="20"/>
  <c r="J78" i="20"/>
  <c r="J114" i="20"/>
  <c r="L91" i="20"/>
  <c r="F68" i="20"/>
  <c r="J9" i="20"/>
  <c r="N95" i="20"/>
  <c r="L28" i="20"/>
  <c r="F72" i="20"/>
  <c r="L52" i="20"/>
  <c r="L96" i="20"/>
  <c r="J14" i="20"/>
  <c r="L50" i="20"/>
  <c r="J92" i="20"/>
  <c r="J86" i="20"/>
  <c r="J32" i="20"/>
  <c r="N41" i="20"/>
  <c r="F82" i="20"/>
  <c r="N44" i="20"/>
  <c r="J102" i="20"/>
  <c r="N72" i="20"/>
  <c r="J50" i="20"/>
  <c r="N122" i="20"/>
  <c r="N46" i="20"/>
  <c r="J41" i="20"/>
  <c r="N99" i="20"/>
  <c r="N102" i="20"/>
  <c r="N33" i="20"/>
  <c r="L98" i="20"/>
  <c r="F102" i="20"/>
  <c r="N86" i="20"/>
  <c r="N52" i="20"/>
  <c r="L57" i="20"/>
  <c r="F96" i="20"/>
  <c r="F87" i="20"/>
  <c r="J70" i="20"/>
  <c r="J83" i="20"/>
  <c r="J75" i="20"/>
  <c r="L53" i="20"/>
  <c r="J47" i="20"/>
  <c r="F16" i="20"/>
  <c r="F56" i="20"/>
  <c r="J116" i="20"/>
  <c r="N101" i="20"/>
  <c r="N112" i="20"/>
  <c r="N110" i="20"/>
  <c r="N93" i="20"/>
  <c r="J101" i="20"/>
  <c r="F112" i="20"/>
  <c r="J96" i="20"/>
  <c r="J91" i="20"/>
  <c r="N107" i="20"/>
  <c r="N77" i="20"/>
  <c r="N68" i="20"/>
  <c r="N116" i="20"/>
  <c r="J112" i="20"/>
  <c r="F107" i="20"/>
  <c r="F77" i="20"/>
  <c r="F80" i="20"/>
  <c r="F60" i="20"/>
  <c r="J46" i="20"/>
  <c r="F42" i="20"/>
  <c r="J38" i="20"/>
  <c r="L73" i="20"/>
  <c r="F49" i="20"/>
  <c r="J45" i="20"/>
  <c r="L40" i="20"/>
  <c r="F45" i="20"/>
  <c r="F33" i="20"/>
  <c r="N11" i="20"/>
  <c r="N56" i="20"/>
  <c r="L116" i="20"/>
  <c r="F104" i="20"/>
  <c r="J110" i="20"/>
  <c r="L56" i="20"/>
  <c r="J40" i="20"/>
  <c r="N73" i="20"/>
  <c r="N53" i="20"/>
  <c r="N96" i="20"/>
  <c r="N91" i="20"/>
  <c r="N87" i="20"/>
  <c r="L107" i="20"/>
  <c r="J107" i="20"/>
  <c r="J77" i="20"/>
  <c r="F70" i="20"/>
  <c r="F83" i="20"/>
  <c r="N83" i="20"/>
  <c r="F71" i="20"/>
  <c r="N75" i="20"/>
  <c r="J71" i="20"/>
  <c r="J68" i="20"/>
  <c r="J80" i="20"/>
  <c r="J60" i="20"/>
  <c r="N47" i="20"/>
  <c r="J42" i="20"/>
  <c r="L38" i="20"/>
  <c r="J49" i="20"/>
  <c r="L65" i="20"/>
  <c r="N65" i="20"/>
  <c r="L59" i="20"/>
  <c r="F53" i="20"/>
  <c r="N45" i="20"/>
  <c r="N26" i="20"/>
  <c r="N16" i="20"/>
  <c r="N12" i="20"/>
  <c r="F15" i="20"/>
  <c r="N15" i="20"/>
  <c r="F93" i="20"/>
  <c r="F73" i="20"/>
  <c r="L36" i="20"/>
  <c r="J65" i="20"/>
  <c r="F26" i="20"/>
  <c r="L42" i="20"/>
  <c r="L15" i="20"/>
  <c r="F110" i="20"/>
  <c r="J93" i="20"/>
  <c r="J87" i="20"/>
  <c r="F75" i="20"/>
  <c r="N80" i="20"/>
  <c r="L60" i="20"/>
  <c r="N60" i="20"/>
  <c r="F47" i="20"/>
  <c r="J36" i="20"/>
  <c r="J53" i="20"/>
  <c r="N49" i="20"/>
  <c r="F65" i="20"/>
  <c r="F59" i="20"/>
  <c r="L54" i="20"/>
  <c r="J51" i="20"/>
  <c r="F40" i="20"/>
  <c r="F38" i="20"/>
  <c r="F36" i="20"/>
  <c r="J26" i="20"/>
  <c r="J16" i="20"/>
  <c r="J12" i="20"/>
  <c r="J56" i="20"/>
  <c r="AF22" i="19"/>
  <c r="AF21" i="19"/>
  <c r="AF20" i="19"/>
  <c r="AF18" i="19"/>
  <c r="AF17" i="19"/>
  <c r="AF16" i="19"/>
  <c r="AC22" i="19"/>
  <c r="AC21" i="19"/>
  <c r="AC20" i="19"/>
  <c r="AC18" i="19"/>
  <c r="AC17" i="19"/>
  <c r="AC16" i="19"/>
  <c r="Z22" i="19"/>
  <c r="Z21" i="19"/>
  <c r="Z20" i="19"/>
  <c r="Z18" i="19"/>
  <c r="Z17" i="19"/>
  <c r="Z16" i="19"/>
  <c r="W22" i="19"/>
  <c r="W21" i="19"/>
  <c r="W20" i="19"/>
  <c r="W18" i="19"/>
  <c r="W17" i="19"/>
  <c r="W16" i="19"/>
  <c r="T22" i="19"/>
  <c r="T21" i="19"/>
  <c r="T20" i="19"/>
  <c r="T18" i="19"/>
  <c r="T17" i="19"/>
  <c r="T16" i="19"/>
  <c r="Q22" i="19"/>
  <c r="Q21" i="19"/>
  <c r="Q20" i="19"/>
  <c r="Q18" i="19"/>
  <c r="Q17" i="19"/>
  <c r="Q16" i="19"/>
  <c r="N22" i="19"/>
  <c r="N21" i="19"/>
  <c r="N20" i="19"/>
  <c r="N18" i="19"/>
  <c r="N17" i="19"/>
  <c r="N16" i="19"/>
  <c r="H22" i="19"/>
  <c r="H21" i="19"/>
  <c r="H20" i="19"/>
  <c r="H18" i="19"/>
  <c r="H17" i="19"/>
  <c r="H16" i="19"/>
  <c r="E22" i="19"/>
  <c r="E21" i="19"/>
  <c r="E20" i="19"/>
  <c r="E18" i="19"/>
  <c r="E17" i="19"/>
  <c r="E16" i="19"/>
  <c r="AG8" i="19" l="1"/>
  <c r="AH8" i="19" s="1"/>
  <c r="AG9" i="19"/>
  <c r="AG10" i="19"/>
  <c r="AG11" i="19"/>
  <c r="AH11" i="19" s="1"/>
  <c r="AG12" i="19"/>
  <c r="AG13" i="19"/>
  <c r="AG14" i="19"/>
  <c r="AG15" i="19"/>
  <c r="AH15" i="19" s="1"/>
  <c r="AG16" i="19"/>
  <c r="AH16" i="19" s="1"/>
  <c r="AG17" i="19"/>
  <c r="AH17" i="19" s="1"/>
  <c r="AG18" i="19"/>
  <c r="AH18" i="19" s="1"/>
  <c r="AG19" i="19"/>
  <c r="AH19" i="19" s="1"/>
  <c r="AG20" i="19"/>
  <c r="AH20" i="19" s="1"/>
  <c r="AG21" i="19"/>
  <c r="AH21" i="19" s="1"/>
  <c r="AG22" i="19"/>
  <c r="AH22" i="19" s="1"/>
  <c r="AG23" i="19"/>
  <c r="AH23" i="19" s="1"/>
  <c r="AG24" i="19"/>
  <c r="AG25" i="19"/>
  <c r="AH25" i="19" s="1"/>
  <c r="AG26" i="19"/>
  <c r="AG27" i="19"/>
  <c r="AH27" i="19" s="1"/>
  <c r="AG28" i="19"/>
  <c r="AH28" i="19" s="1"/>
  <c r="AG29" i="19"/>
  <c r="AH29" i="19" s="1"/>
  <c r="AG30" i="19"/>
  <c r="AG31" i="19"/>
  <c r="AG32" i="19"/>
  <c r="AG33" i="19"/>
  <c r="AH33" i="19" s="1"/>
  <c r="AG34" i="19"/>
  <c r="AG35" i="19"/>
  <c r="AG36" i="19"/>
  <c r="AG37" i="19"/>
  <c r="AG38" i="19"/>
  <c r="AG39" i="19"/>
  <c r="AG40" i="19"/>
  <c r="AG41" i="19"/>
  <c r="AH41" i="19" s="1"/>
  <c r="AG42" i="19"/>
  <c r="AG43" i="19"/>
  <c r="AG44" i="19"/>
  <c r="AG45" i="19"/>
  <c r="AG46" i="19"/>
  <c r="AG47" i="19"/>
  <c r="AG48" i="19"/>
  <c r="AG49" i="19"/>
  <c r="AG50" i="19"/>
  <c r="AG51" i="19"/>
  <c r="AG52" i="19"/>
  <c r="AG53" i="19"/>
  <c r="AG54" i="19"/>
  <c r="AG55" i="19"/>
  <c r="AG56" i="19"/>
  <c r="AH56" i="19" s="1"/>
  <c r="AG57" i="19"/>
  <c r="AH57" i="19" s="1"/>
  <c r="AG58" i="19"/>
  <c r="AH58" i="19" s="1"/>
  <c r="AG59" i="19"/>
  <c r="AH59" i="19" s="1"/>
  <c r="AG60" i="19"/>
  <c r="AH60" i="19" s="1"/>
  <c r="AG61" i="19"/>
  <c r="AG62" i="19"/>
  <c r="AG63" i="19"/>
  <c r="AH63" i="19" s="1"/>
  <c r="AG64" i="19"/>
  <c r="AG65" i="19"/>
  <c r="AG66" i="19"/>
  <c r="AH66" i="19" s="1"/>
  <c r="AG67" i="19"/>
  <c r="AG68" i="19"/>
  <c r="AG69" i="19"/>
  <c r="AH69" i="19" s="1"/>
  <c r="AG70" i="19"/>
  <c r="AG71" i="19"/>
  <c r="AG72" i="19"/>
  <c r="AG73" i="19"/>
  <c r="AG74" i="19"/>
  <c r="AG75" i="19"/>
  <c r="AG76" i="19"/>
  <c r="AG77" i="19"/>
  <c r="AG78" i="19"/>
  <c r="AG79" i="19"/>
  <c r="AG80" i="19"/>
  <c r="AG81" i="19"/>
  <c r="AH81" i="19" s="1"/>
  <c r="AG82" i="19"/>
  <c r="AG83" i="19"/>
  <c r="AH83" i="19" s="1"/>
  <c r="AG84" i="19"/>
  <c r="AG85" i="19"/>
  <c r="AG86" i="19"/>
  <c r="AH86" i="19" s="1"/>
  <c r="AG87" i="19"/>
  <c r="AG88" i="19"/>
  <c r="AG89" i="19"/>
  <c r="AG90" i="19"/>
  <c r="AG91" i="19"/>
  <c r="AG92" i="19"/>
  <c r="AH92" i="19" s="1"/>
  <c r="AG93" i="19"/>
  <c r="AG94" i="19"/>
  <c r="AG95" i="19"/>
  <c r="AG96" i="19"/>
  <c r="AH96" i="19" s="1"/>
  <c r="AG97" i="19"/>
  <c r="AG98" i="19"/>
  <c r="AG99" i="19"/>
  <c r="AG100" i="19"/>
  <c r="AG101" i="19"/>
  <c r="AG102" i="19"/>
  <c r="AH102" i="19" s="1"/>
  <c r="AG103" i="19"/>
  <c r="AG104" i="19"/>
  <c r="AG105" i="19"/>
  <c r="AH105" i="19" s="1"/>
  <c r="AG106" i="19"/>
  <c r="AG107" i="19"/>
  <c r="AG108" i="19"/>
  <c r="AH108" i="19" s="1"/>
  <c r="AG109" i="19"/>
  <c r="AG110" i="19"/>
  <c r="AG111" i="19"/>
  <c r="AH111" i="19" s="1"/>
  <c r="AG112" i="19"/>
  <c r="AG113" i="19"/>
  <c r="AH113" i="19" s="1"/>
  <c r="AG114" i="19"/>
  <c r="AH114" i="19" s="1"/>
  <c r="AG115" i="19"/>
  <c r="AH115" i="19" s="1"/>
  <c r="AG116" i="19"/>
  <c r="AH116" i="19" s="1"/>
  <c r="AG117" i="19"/>
  <c r="AH117" i="19" s="1"/>
  <c r="AG118" i="19"/>
  <c r="AG119" i="19"/>
  <c r="AG120" i="19"/>
  <c r="AG121" i="19"/>
  <c r="AH121" i="19" s="1"/>
  <c r="AG122" i="19"/>
  <c r="AG123" i="19"/>
  <c r="AH123" i="19" s="1"/>
  <c r="AG124" i="19"/>
  <c r="AH124" i="19" s="1"/>
  <c r="AG125" i="19"/>
  <c r="AH125" i="19" s="1"/>
  <c r="AG126" i="19"/>
  <c r="AH126" i="19" s="1"/>
  <c r="AG127" i="19"/>
  <c r="AH127" i="19" s="1"/>
  <c r="AG128" i="19"/>
  <c r="AG129" i="19"/>
  <c r="AH129" i="19" s="1"/>
  <c r="AG130" i="19"/>
  <c r="AH130" i="19" s="1"/>
  <c r="AG131" i="19"/>
  <c r="AH131" i="19" s="1"/>
  <c r="AG132" i="19"/>
  <c r="AH132" i="19" s="1"/>
  <c r="AG133" i="19"/>
  <c r="AH133" i="19" s="1"/>
  <c r="AG134" i="19"/>
  <c r="AG135" i="19"/>
  <c r="AH135" i="19" s="1"/>
  <c r="AG136" i="19"/>
  <c r="AH136" i="19" s="1"/>
  <c r="AG137" i="19"/>
  <c r="AH137" i="19" s="1"/>
  <c r="AG138" i="19"/>
  <c r="AH138" i="19" s="1"/>
  <c r="AG139" i="19"/>
  <c r="AH139" i="19" s="1"/>
  <c r="AG140" i="19"/>
  <c r="AH140" i="19" s="1"/>
  <c r="AG141" i="19"/>
  <c r="AH141" i="19" s="1"/>
  <c r="AG142" i="19"/>
  <c r="AH142" i="19" s="1"/>
  <c r="AG143" i="19"/>
  <c r="AH143" i="19" s="1"/>
  <c r="AG144" i="19"/>
  <c r="AG145" i="19"/>
  <c r="AG146" i="19"/>
  <c r="AH146" i="19" s="1"/>
  <c r="AG147" i="19"/>
  <c r="AH147" i="19" s="1"/>
  <c r="AG148" i="19"/>
  <c r="AH148" i="19" s="1"/>
  <c r="AG149" i="19"/>
  <c r="AH149" i="19" s="1"/>
  <c r="AG150" i="19"/>
  <c r="AG151" i="19"/>
  <c r="AG152" i="19"/>
  <c r="AH152" i="19" s="1"/>
  <c r="AG153" i="19"/>
  <c r="AG154" i="19"/>
  <c r="AG155" i="19"/>
  <c r="AG156" i="19"/>
  <c r="AH156" i="19" s="1"/>
  <c r="AG157" i="19"/>
  <c r="AG158" i="19"/>
  <c r="AG159" i="19"/>
  <c r="AG160" i="19"/>
  <c r="AH160" i="19" s="1"/>
  <c r="AG161" i="19"/>
  <c r="AG162" i="19"/>
  <c r="AG163" i="19"/>
  <c r="AH163" i="19" s="1"/>
  <c r="AG164" i="19"/>
  <c r="AG165" i="19"/>
  <c r="AH165" i="19" s="1"/>
  <c r="AG166" i="19"/>
  <c r="AG167" i="19"/>
  <c r="AG168" i="19"/>
  <c r="AH168" i="19" s="1"/>
  <c r="AG169" i="19"/>
  <c r="AG170" i="19"/>
  <c r="AH170" i="19" s="1"/>
  <c r="AG171" i="19"/>
  <c r="AG172" i="19"/>
  <c r="AG173" i="19"/>
  <c r="AG174" i="19"/>
  <c r="AG175" i="19"/>
  <c r="AG176" i="19"/>
  <c r="AH176" i="19" s="1"/>
  <c r="AG177" i="19"/>
  <c r="AG178" i="19"/>
  <c r="AG179" i="19"/>
  <c r="AH179" i="19" s="1"/>
  <c r="AG180" i="19"/>
  <c r="AG181" i="19"/>
  <c r="AH181" i="19" s="1"/>
  <c r="AG182" i="19"/>
  <c r="AG183" i="19"/>
  <c r="AH183" i="19" s="1"/>
  <c r="AG184" i="19"/>
  <c r="AG185" i="19"/>
  <c r="AH185" i="19" s="1"/>
  <c r="AG186" i="19"/>
  <c r="AG187" i="19"/>
  <c r="AH187" i="19" s="1"/>
  <c r="AG188" i="19"/>
  <c r="AG189" i="19"/>
  <c r="AH189" i="19" s="1"/>
  <c r="AG190" i="19"/>
  <c r="AG191" i="19"/>
  <c r="AH191" i="19" s="1"/>
  <c r="AG192" i="19"/>
  <c r="AG193" i="19"/>
  <c r="AG194" i="19"/>
  <c r="AG195" i="19"/>
  <c r="AH195" i="19" s="1"/>
  <c r="AG196" i="19"/>
  <c r="AG197" i="19"/>
  <c r="AG198" i="19"/>
  <c r="AG199" i="19"/>
  <c r="AG200" i="19"/>
  <c r="AG201" i="19"/>
  <c r="AG202" i="19"/>
  <c r="AG203" i="19"/>
  <c r="AG204" i="19"/>
  <c r="AG205" i="19"/>
  <c r="AG206" i="19"/>
  <c r="AH206" i="19" s="1"/>
  <c r="AG207" i="19"/>
  <c r="AH207" i="19" s="1"/>
  <c r="AG208" i="19"/>
  <c r="AH208" i="19" s="1"/>
  <c r="AG209" i="19"/>
  <c r="AH209" i="19" s="1"/>
  <c r="AG210" i="19"/>
  <c r="AH210" i="19" s="1"/>
  <c r="AG211" i="19"/>
  <c r="AG212" i="19"/>
  <c r="AH212" i="19" s="1"/>
  <c r="AG213" i="19"/>
  <c r="AG214" i="19"/>
  <c r="AG215" i="19"/>
  <c r="AH215" i="19" s="1"/>
  <c r="AG216" i="19"/>
  <c r="AG217" i="19"/>
  <c r="AG218" i="19"/>
  <c r="AH218" i="19" s="1"/>
  <c r="AG219" i="19"/>
  <c r="AG220" i="19"/>
  <c r="AG221" i="19"/>
  <c r="AG222" i="19"/>
  <c r="AG223" i="19"/>
  <c r="AG224" i="19"/>
  <c r="AG225" i="19"/>
  <c r="AH225" i="19" s="1"/>
  <c r="AG226" i="19"/>
  <c r="AG227" i="19"/>
  <c r="AG228" i="19"/>
  <c r="AG229" i="19"/>
  <c r="AH229" i="19" s="1"/>
  <c r="AG230" i="19"/>
  <c r="AG231" i="19"/>
  <c r="AG232" i="19"/>
  <c r="AH232" i="19" s="1"/>
  <c r="AG233" i="19"/>
  <c r="AG234" i="19"/>
  <c r="AG235" i="19"/>
  <c r="AG236" i="19"/>
  <c r="AH236" i="19" s="1"/>
  <c r="AG237" i="19"/>
  <c r="AG238" i="19"/>
  <c r="AG239" i="19"/>
  <c r="AG240" i="19"/>
  <c r="AG241" i="19"/>
  <c r="AH241" i="19" s="1"/>
  <c r="AG242" i="19"/>
  <c r="AH242" i="19" s="1"/>
  <c r="AG243" i="19"/>
  <c r="AH243" i="19" s="1"/>
  <c r="AG244" i="19"/>
  <c r="AH244" i="19" s="1"/>
  <c r="AG245" i="19"/>
  <c r="AH245" i="19" s="1"/>
  <c r="AG246" i="19"/>
  <c r="AG247" i="19"/>
  <c r="AH247" i="19" s="1"/>
  <c r="AG248" i="19"/>
  <c r="AG249" i="19"/>
  <c r="AG250" i="19"/>
  <c r="AH250" i="19" s="1"/>
  <c r="AG251" i="19"/>
  <c r="AG252" i="19"/>
  <c r="AH252" i="19" s="1"/>
  <c r="AG253" i="19"/>
  <c r="AH253" i="19" s="1"/>
  <c r="AG254" i="19"/>
  <c r="AH254" i="19" s="1"/>
  <c r="AG255" i="19"/>
  <c r="AH255" i="19" s="1"/>
  <c r="AG256" i="19"/>
  <c r="AG257" i="19"/>
  <c r="AH257" i="19" s="1"/>
  <c r="AG258" i="19"/>
  <c r="AG259" i="19"/>
  <c r="AG260" i="19"/>
  <c r="AH260" i="19" s="1"/>
  <c r="AG261" i="19"/>
  <c r="AG262" i="19"/>
  <c r="AG263" i="19"/>
  <c r="AG264" i="19"/>
  <c r="AG265" i="19"/>
  <c r="AH265" i="19" s="1"/>
  <c r="AG266" i="19"/>
  <c r="AG267" i="19"/>
  <c r="AH267" i="19" s="1"/>
  <c r="AG268" i="19"/>
  <c r="AG269" i="19"/>
  <c r="AH269" i="19" s="1"/>
  <c r="AG270" i="19"/>
  <c r="AG271" i="19"/>
  <c r="AG272" i="19"/>
  <c r="AH272" i="19" s="1"/>
  <c r="AG273" i="19"/>
  <c r="AG274" i="19"/>
  <c r="AG275" i="19"/>
  <c r="AG276" i="19"/>
  <c r="AG277" i="19"/>
  <c r="AG278" i="19"/>
  <c r="AH278" i="19" s="1"/>
  <c r="AG279" i="19"/>
  <c r="AG280" i="19"/>
  <c r="AG281" i="19"/>
  <c r="AH281" i="19" s="1"/>
  <c r="AG282" i="19"/>
  <c r="AH282" i="19" s="1"/>
  <c r="AG283" i="19"/>
  <c r="AH283" i="19" s="1"/>
  <c r="AG284" i="19"/>
  <c r="AH284" i="19" s="1"/>
  <c r="AG285" i="19"/>
  <c r="AH285" i="19" s="1"/>
  <c r="AG286" i="19"/>
  <c r="AH286" i="19" s="1"/>
  <c r="AG287" i="19"/>
  <c r="AG288" i="19"/>
  <c r="AH288" i="19" s="1"/>
  <c r="AG289" i="19"/>
  <c r="AG290" i="19"/>
  <c r="AH290" i="19" s="1"/>
  <c r="AG291" i="19"/>
  <c r="AH291" i="19" s="1"/>
  <c r="AG292" i="19"/>
  <c r="AH292" i="19" s="1"/>
  <c r="AG293" i="19"/>
  <c r="AH293" i="19" s="1"/>
  <c r="AG294" i="19"/>
  <c r="AG295" i="19"/>
  <c r="AG296" i="19"/>
  <c r="AG297" i="19"/>
  <c r="AG298" i="19"/>
  <c r="AG299" i="19"/>
  <c r="AH299" i="19" s="1"/>
  <c r="AG300" i="19"/>
  <c r="AG301" i="19"/>
  <c r="AG302" i="19"/>
  <c r="AH302" i="19" s="1"/>
  <c r="AG303" i="19"/>
  <c r="AG304" i="19"/>
  <c r="AG305" i="19"/>
  <c r="AG306" i="19"/>
  <c r="AG307" i="19"/>
  <c r="AG308" i="19"/>
  <c r="AG309" i="19"/>
  <c r="AG310" i="19"/>
  <c r="AH310" i="19" s="1"/>
  <c r="AG311" i="19"/>
  <c r="AH311" i="19" s="1"/>
  <c r="AG312" i="19"/>
  <c r="AH312" i="19" s="1"/>
  <c r="AG313" i="19"/>
  <c r="AH313" i="19" s="1"/>
  <c r="AG314" i="19"/>
  <c r="AH314" i="19" s="1"/>
  <c r="AG315" i="19"/>
  <c r="AG316" i="19"/>
  <c r="AG317" i="19"/>
  <c r="AH317" i="19" s="1"/>
  <c r="AG318" i="19"/>
  <c r="AG319" i="19"/>
  <c r="AG320" i="19"/>
  <c r="AG321" i="19"/>
  <c r="AG322" i="19"/>
  <c r="AG323" i="19"/>
  <c r="AG324" i="19"/>
  <c r="AH324" i="19" s="1"/>
  <c r="AG325" i="19"/>
  <c r="AG326" i="19"/>
  <c r="AG327" i="19"/>
  <c r="AH327" i="19" s="1"/>
  <c r="AG328" i="19"/>
  <c r="AG329" i="19"/>
  <c r="AG330" i="19"/>
  <c r="AG331" i="19"/>
  <c r="AG332" i="19"/>
  <c r="AG333" i="19"/>
  <c r="AG334" i="19"/>
  <c r="AG335" i="19"/>
  <c r="AH335" i="19" s="1"/>
  <c r="AG336" i="19"/>
  <c r="AG337" i="19"/>
  <c r="AG338" i="19"/>
  <c r="AG339" i="19"/>
  <c r="AG340" i="19"/>
  <c r="AG341" i="19"/>
  <c r="AG342" i="19"/>
  <c r="AH342" i="19" s="1"/>
  <c r="AG343" i="19"/>
  <c r="AG344" i="19"/>
  <c r="AG345" i="19"/>
  <c r="AG346" i="19"/>
  <c r="AG347" i="19"/>
  <c r="AH347" i="19" s="1"/>
  <c r="AG348" i="19"/>
  <c r="AH348" i="19" s="1"/>
  <c r="AG349" i="19"/>
  <c r="AH349" i="19" s="1"/>
  <c r="AG350" i="19"/>
  <c r="AH350" i="19" s="1"/>
  <c r="AG351" i="19"/>
  <c r="AH351" i="19" s="1"/>
  <c r="AG352" i="19"/>
  <c r="AG353" i="19"/>
  <c r="AG354" i="19"/>
  <c r="AG355" i="19"/>
  <c r="AG356" i="19"/>
  <c r="AH356" i="19" s="1"/>
  <c r="AG357" i="19"/>
  <c r="AH357" i="19" s="1"/>
  <c r="AG358" i="19"/>
  <c r="AH358" i="19" s="1"/>
  <c r="AG359" i="19"/>
  <c r="AH359" i="19" s="1"/>
  <c r="AG360" i="19"/>
  <c r="AH360" i="19" s="1"/>
  <c r="AG361" i="19"/>
  <c r="AG362" i="19"/>
  <c r="AG363" i="19"/>
  <c r="AH363" i="19" s="1"/>
  <c r="AG364" i="19"/>
  <c r="AH364" i="19" s="1"/>
  <c r="AG365" i="19"/>
  <c r="AH365" i="19" s="1"/>
  <c r="AG366" i="19"/>
  <c r="AH366" i="19" s="1"/>
  <c r="AG367" i="19"/>
  <c r="AH367" i="19" s="1"/>
  <c r="AG368" i="19"/>
  <c r="AH368" i="19" s="1"/>
  <c r="AG369" i="19"/>
  <c r="AH369" i="19" s="1"/>
  <c r="AD8" i="19"/>
  <c r="AE8" i="19" s="1"/>
  <c r="AD9" i="19"/>
  <c r="AD10" i="19"/>
  <c r="AD11" i="19"/>
  <c r="AE11" i="19" s="1"/>
  <c r="AD12" i="19"/>
  <c r="AD13" i="19"/>
  <c r="AD14" i="19"/>
  <c r="AD15" i="19"/>
  <c r="AE15" i="19" s="1"/>
  <c r="AD16" i="19"/>
  <c r="AE16" i="19" s="1"/>
  <c r="AD17" i="19"/>
  <c r="AE17" i="19" s="1"/>
  <c r="AD18" i="19"/>
  <c r="AE18" i="19" s="1"/>
  <c r="AD19" i="19"/>
  <c r="AE19" i="19" s="1"/>
  <c r="AD20" i="19"/>
  <c r="AE20" i="19" s="1"/>
  <c r="AD21" i="19"/>
  <c r="AE21" i="19" s="1"/>
  <c r="AD22" i="19"/>
  <c r="AE22" i="19" s="1"/>
  <c r="AD23" i="19"/>
  <c r="AE23" i="19" s="1"/>
  <c r="AD24" i="19"/>
  <c r="AD25" i="19"/>
  <c r="AE25" i="19" s="1"/>
  <c r="AD26" i="19"/>
  <c r="AD27" i="19"/>
  <c r="AE27" i="19" s="1"/>
  <c r="AD28" i="19"/>
  <c r="AD29" i="19"/>
  <c r="AE29" i="19" s="1"/>
  <c r="AD30" i="19"/>
  <c r="AD31" i="19"/>
  <c r="AD32" i="19"/>
  <c r="AD33" i="19"/>
  <c r="AE33" i="19" s="1"/>
  <c r="AD34" i="19"/>
  <c r="AD35" i="19"/>
  <c r="AD36" i="19"/>
  <c r="AD37" i="19"/>
  <c r="AD38" i="19"/>
  <c r="AD39" i="19"/>
  <c r="AD40" i="19"/>
  <c r="AD41" i="19"/>
  <c r="AE41" i="19" s="1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E56" i="19" s="1"/>
  <c r="AD57" i="19"/>
  <c r="AE57" i="19" s="1"/>
  <c r="AD58" i="19"/>
  <c r="AE58" i="19" s="1"/>
  <c r="AD59" i="19"/>
  <c r="AE59" i="19" s="1"/>
  <c r="AD60" i="19"/>
  <c r="AE60" i="19" s="1"/>
  <c r="AD61" i="19"/>
  <c r="AD62" i="19"/>
  <c r="AD63" i="19"/>
  <c r="AE63" i="19" s="1"/>
  <c r="AD64" i="19"/>
  <c r="AD65" i="19"/>
  <c r="AD66" i="19"/>
  <c r="AE66" i="19" s="1"/>
  <c r="AD67" i="19"/>
  <c r="AD68" i="19"/>
  <c r="AD69" i="19"/>
  <c r="AE69" i="19" s="1"/>
  <c r="AD70" i="19"/>
  <c r="AD71" i="19"/>
  <c r="AD72" i="19"/>
  <c r="AD73" i="19"/>
  <c r="AD74" i="19"/>
  <c r="AD75" i="19"/>
  <c r="AD76" i="19"/>
  <c r="AD77" i="19"/>
  <c r="AD78" i="19"/>
  <c r="AD79" i="19"/>
  <c r="AD80" i="19"/>
  <c r="AD81" i="19"/>
  <c r="AE81" i="19" s="1"/>
  <c r="AD82" i="19"/>
  <c r="AD83" i="19"/>
  <c r="AE83" i="19" s="1"/>
  <c r="AD84" i="19"/>
  <c r="AD85" i="19"/>
  <c r="AD86" i="19"/>
  <c r="AE86" i="19" s="1"/>
  <c r="AD87" i="19"/>
  <c r="AD88" i="19"/>
  <c r="AD89" i="19"/>
  <c r="AD90" i="19"/>
  <c r="AD91" i="19"/>
  <c r="AD92" i="19"/>
  <c r="AE92" i="19" s="1"/>
  <c r="AD93" i="19"/>
  <c r="AD94" i="19"/>
  <c r="AD95" i="19"/>
  <c r="AD96" i="19"/>
  <c r="AE96" i="19" s="1"/>
  <c r="AD97" i="19"/>
  <c r="AD98" i="19"/>
  <c r="AD99" i="19"/>
  <c r="AD100" i="19"/>
  <c r="AD101" i="19"/>
  <c r="AD102" i="19"/>
  <c r="AE102" i="19" s="1"/>
  <c r="AD103" i="19"/>
  <c r="AD104" i="19"/>
  <c r="AD105" i="19"/>
  <c r="AE105" i="19" s="1"/>
  <c r="AD106" i="19"/>
  <c r="AD107" i="19"/>
  <c r="AD108" i="19"/>
  <c r="AE108" i="19" s="1"/>
  <c r="AD109" i="19"/>
  <c r="AD110" i="19"/>
  <c r="AD111" i="19"/>
  <c r="AE111" i="19" s="1"/>
  <c r="AD112" i="19"/>
  <c r="AD113" i="19"/>
  <c r="AE113" i="19" s="1"/>
  <c r="AD114" i="19"/>
  <c r="AE114" i="19" s="1"/>
  <c r="AD115" i="19"/>
  <c r="AE115" i="19" s="1"/>
  <c r="AD116" i="19"/>
  <c r="AE116" i="19" s="1"/>
  <c r="AD117" i="19"/>
  <c r="AE117" i="19" s="1"/>
  <c r="AD118" i="19"/>
  <c r="AD119" i="19"/>
  <c r="AD120" i="19"/>
  <c r="AD121" i="19"/>
  <c r="AE121" i="19" s="1"/>
  <c r="AD122" i="19"/>
  <c r="AD123" i="19"/>
  <c r="AE123" i="19" s="1"/>
  <c r="AD124" i="19"/>
  <c r="AE124" i="19" s="1"/>
  <c r="AD125" i="19"/>
  <c r="AE125" i="19" s="1"/>
  <c r="AD126" i="19"/>
  <c r="AE126" i="19" s="1"/>
  <c r="AD127" i="19"/>
  <c r="AE127" i="19" s="1"/>
  <c r="AD128" i="19"/>
  <c r="AD129" i="19"/>
  <c r="AE129" i="19" s="1"/>
  <c r="AD130" i="19"/>
  <c r="AE130" i="19" s="1"/>
  <c r="AD131" i="19"/>
  <c r="AE131" i="19" s="1"/>
  <c r="AD132" i="19"/>
  <c r="AE132" i="19" s="1"/>
  <c r="AD133" i="19"/>
  <c r="AE133" i="19" s="1"/>
  <c r="AD134" i="19"/>
  <c r="AD135" i="19"/>
  <c r="AE135" i="19" s="1"/>
  <c r="AD136" i="19"/>
  <c r="AE136" i="19" s="1"/>
  <c r="AD137" i="19"/>
  <c r="AE137" i="19" s="1"/>
  <c r="AD138" i="19"/>
  <c r="AE138" i="19" s="1"/>
  <c r="AD139" i="19"/>
  <c r="AE139" i="19" s="1"/>
  <c r="AD140" i="19"/>
  <c r="AE140" i="19" s="1"/>
  <c r="AD141" i="19"/>
  <c r="AE141" i="19" s="1"/>
  <c r="AD142" i="19"/>
  <c r="AE142" i="19" s="1"/>
  <c r="AD143" i="19"/>
  <c r="AE143" i="19" s="1"/>
  <c r="AD144" i="19"/>
  <c r="AD145" i="19"/>
  <c r="AD146" i="19"/>
  <c r="AE146" i="19" s="1"/>
  <c r="AD147" i="19"/>
  <c r="AE147" i="19" s="1"/>
  <c r="AD148" i="19"/>
  <c r="AE148" i="19" s="1"/>
  <c r="AD149" i="19"/>
  <c r="AE149" i="19" s="1"/>
  <c r="AD150" i="19"/>
  <c r="AD151" i="19"/>
  <c r="AD152" i="19"/>
  <c r="AE152" i="19" s="1"/>
  <c r="AD153" i="19"/>
  <c r="AD154" i="19"/>
  <c r="AD155" i="19"/>
  <c r="AD156" i="19"/>
  <c r="AE156" i="19" s="1"/>
  <c r="AD157" i="19"/>
  <c r="AD158" i="19"/>
  <c r="AD159" i="19"/>
  <c r="AD160" i="19"/>
  <c r="AE160" i="19" s="1"/>
  <c r="AD161" i="19"/>
  <c r="AD162" i="19"/>
  <c r="AD163" i="19"/>
  <c r="AE163" i="19" s="1"/>
  <c r="AD164" i="19"/>
  <c r="AD165" i="19"/>
  <c r="AE165" i="19" s="1"/>
  <c r="AD166" i="19"/>
  <c r="AD167" i="19"/>
  <c r="AD168" i="19"/>
  <c r="AE168" i="19" s="1"/>
  <c r="AD169" i="19"/>
  <c r="AD170" i="19"/>
  <c r="AE170" i="19" s="1"/>
  <c r="AD171" i="19"/>
  <c r="AD172" i="19"/>
  <c r="AD173" i="19"/>
  <c r="AD174" i="19"/>
  <c r="AD175" i="19"/>
  <c r="AD176" i="19"/>
  <c r="AE176" i="19" s="1"/>
  <c r="AD177" i="19"/>
  <c r="AD178" i="19"/>
  <c r="AD179" i="19"/>
  <c r="AE179" i="19" s="1"/>
  <c r="AD180" i="19"/>
  <c r="AD181" i="19"/>
  <c r="AE181" i="19" s="1"/>
  <c r="AD182" i="19"/>
  <c r="AD183" i="19"/>
  <c r="AE183" i="19" s="1"/>
  <c r="AD184" i="19"/>
  <c r="AD185" i="19"/>
  <c r="AE185" i="19" s="1"/>
  <c r="AD186" i="19"/>
  <c r="AD187" i="19"/>
  <c r="AE187" i="19" s="1"/>
  <c r="AD188" i="19"/>
  <c r="AD189" i="19"/>
  <c r="AE189" i="19" s="1"/>
  <c r="AD190" i="19"/>
  <c r="AD191" i="19"/>
  <c r="AE191" i="19" s="1"/>
  <c r="AD192" i="19"/>
  <c r="AD193" i="19"/>
  <c r="AD194" i="19"/>
  <c r="AD195" i="19"/>
  <c r="AE195" i="19" s="1"/>
  <c r="AD196" i="19"/>
  <c r="AD197" i="19"/>
  <c r="AD198" i="19"/>
  <c r="AD199" i="19"/>
  <c r="AD200" i="19"/>
  <c r="AD201" i="19"/>
  <c r="AD202" i="19"/>
  <c r="AD203" i="19"/>
  <c r="AD204" i="19"/>
  <c r="AD205" i="19"/>
  <c r="AD206" i="19"/>
  <c r="AE206" i="19" s="1"/>
  <c r="AD207" i="19"/>
  <c r="AE207" i="19" s="1"/>
  <c r="AD208" i="19"/>
  <c r="AE208" i="19" s="1"/>
  <c r="AD209" i="19"/>
  <c r="AE209" i="19" s="1"/>
  <c r="AD210" i="19"/>
  <c r="AE210" i="19" s="1"/>
  <c r="AD211" i="19"/>
  <c r="AD212" i="19"/>
  <c r="AE212" i="19" s="1"/>
  <c r="AD213" i="19"/>
  <c r="AD214" i="19"/>
  <c r="AD215" i="19"/>
  <c r="AE215" i="19" s="1"/>
  <c r="AD216" i="19"/>
  <c r="AD217" i="19"/>
  <c r="AD218" i="19"/>
  <c r="AE218" i="19" s="1"/>
  <c r="AD219" i="19"/>
  <c r="AD220" i="19"/>
  <c r="AD221" i="19"/>
  <c r="AD222" i="19"/>
  <c r="AD223" i="19"/>
  <c r="AD224" i="19"/>
  <c r="AD225" i="19"/>
  <c r="AE225" i="19" s="1"/>
  <c r="AD226" i="19"/>
  <c r="AD227" i="19"/>
  <c r="AD228" i="19"/>
  <c r="AD229" i="19"/>
  <c r="AE229" i="19" s="1"/>
  <c r="AD230" i="19"/>
  <c r="AD231" i="19"/>
  <c r="AD232" i="19"/>
  <c r="AE232" i="19" s="1"/>
  <c r="AD233" i="19"/>
  <c r="AD234" i="19"/>
  <c r="AD235" i="19"/>
  <c r="AD236" i="19"/>
  <c r="AE236" i="19" s="1"/>
  <c r="AD237" i="19"/>
  <c r="AD238" i="19"/>
  <c r="AD239" i="19"/>
  <c r="AD240" i="19"/>
  <c r="AD241" i="19"/>
  <c r="AE241" i="19" s="1"/>
  <c r="AD242" i="19"/>
  <c r="AE242" i="19" s="1"/>
  <c r="AD243" i="19"/>
  <c r="AE243" i="19" s="1"/>
  <c r="AD244" i="19"/>
  <c r="AE244" i="19" s="1"/>
  <c r="AD245" i="19"/>
  <c r="AE245" i="19" s="1"/>
  <c r="AD246" i="19"/>
  <c r="AD247" i="19"/>
  <c r="AE247" i="19" s="1"/>
  <c r="AD248" i="19"/>
  <c r="AD249" i="19"/>
  <c r="AD250" i="19"/>
  <c r="AE250" i="19" s="1"/>
  <c r="AD251" i="19"/>
  <c r="AD252" i="19"/>
  <c r="AE252" i="19" s="1"/>
  <c r="AD253" i="19"/>
  <c r="AE253" i="19" s="1"/>
  <c r="AD254" i="19"/>
  <c r="AE254" i="19" s="1"/>
  <c r="AD255" i="19"/>
  <c r="AE255" i="19" s="1"/>
  <c r="AD256" i="19"/>
  <c r="AD257" i="19"/>
  <c r="AE257" i="19" s="1"/>
  <c r="AD258" i="19"/>
  <c r="AD259" i="19"/>
  <c r="AD260" i="19"/>
  <c r="AE260" i="19" s="1"/>
  <c r="AD261" i="19"/>
  <c r="AD262" i="19"/>
  <c r="AD263" i="19"/>
  <c r="AD264" i="19"/>
  <c r="AD265" i="19"/>
  <c r="AE265" i="19" s="1"/>
  <c r="AD266" i="19"/>
  <c r="AD267" i="19"/>
  <c r="AE267" i="19" s="1"/>
  <c r="AD268" i="19"/>
  <c r="AD269" i="19"/>
  <c r="AE269" i="19" s="1"/>
  <c r="AD270" i="19"/>
  <c r="AD271" i="19"/>
  <c r="AD272" i="19"/>
  <c r="AE272" i="19" s="1"/>
  <c r="AD273" i="19"/>
  <c r="AD274" i="19"/>
  <c r="AD275" i="19"/>
  <c r="AD276" i="19"/>
  <c r="AD277" i="19"/>
  <c r="AD278" i="19"/>
  <c r="AE278" i="19" s="1"/>
  <c r="AD279" i="19"/>
  <c r="AD280" i="19"/>
  <c r="AD281" i="19"/>
  <c r="AE281" i="19" s="1"/>
  <c r="AD282" i="19"/>
  <c r="AD283" i="19"/>
  <c r="AE283" i="19" s="1"/>
  <c r="AD284" i="19"/>
  <c r="AE284" i="19" s="1"/>
  <c r="AD285" i="19"/>
  <c r="AE285" i="19" s="1"/>
  <c r="AD286" i="19"/>
  <c r="AE286" i="19" s="1"/>
  <c r="AD287" i="19"/>
  <c r="AD288" i="19"/>
  <c r="AE288" i="19" s="1"/>
  <c r="AD289" i="19"/>
  <c r="AD290" i="19"/>
  <c r="AE290" i="19" s="1"/>
  <c r="AD291" i="19"/>
  <c r="AE291" i="19" s="1"/>
  <c r="AD292" i="19"/>
  <c r="AE292" i="19" s="1"/>
  <c r="AD293" i="19"/>
  <c r="AE293" i="19" s="1"/>
  <c r="AD294" i="19"/>
  <c r="AD295" i="19"/>
  <c r="AD296" i="19"/>
  <c r="AD297" i="19"/>
  <c r="AD298" i="19"/>
  <c r="AD299" i="19"/>
  <c r="AE299" i="19" s="1"/>
  <c r="AD300" i="19"/>
  <c r="AD301" i="19"/>
  <c r="AD302" i="19"/>
  <c r="AE302" i="19" s="1"/>
  <c r="AD303" i="19"/>
  <c r="AD304" i="19"/>
  <c r="AD305" i="19"/>
  <c r="AD306" i="19"/>
  <c r="AD307" i="19"/>
  <c r="AD308" i="19"/>
  <c r="AD309" i="19"/>
  <c r="AD310" i="19"/>
  <c r="AE310" i="19" s="1"/>
  <c r="AD311" i="19"/>
  <c r="AE311" i="19" s="1"/>
  <c r="AD312" i="19"/>
  <c r="AE312" i="19" s="1"/>
  <c r="AD313" i="19"/>
  <c r="AE313" i="19" s="1"/>
  <c r="AD314" i="19"/>
  <c r="AE314" i="19" s="1"/>
  <c r="AD315" i="19"/>
  <c r="AD316" i="19"/>
  <c r="AD317" i="19"/>
  <c r="AE317" i="19" s="1"/>
  <c r="AD318" i="19"/>
  <c r="AD319" i="19"/>
  <c r="AD320" i="19"/>
  <c r="AD321" i="19"/>
  <c r="AD322" i="19"/>
  <c r="AD323" i="19"/>
  <c r="AD324" i="19"/>
  <c r="AE324" i="19" s="1"/>
  <c r="AD325" i="19"/>
  <c r="AD326" i="19"/>
  <c r="AD327" i="19"/>
  <c r="AE327" i="19" s="1"/>
  <c r="AD328" i="19"/>
  <c r="AD329" i="19"/>
  <c r="AD330" i="19"/>
  <c r="AD331" i="19"/>
  <c r="AD332" i="19"/>
  <c r="AD333" i="19"/>
  <c r="AD334" i="19"/>
  <c r="AD335" i="19"/>
  <c r="AE335" i="19" s="1"/>
  <c r="AD336" i="19"/>
  <c r="AD337" i="19"/>
  <c r="AD338" i="19"/>
  <c r="AD339" i="19"/>
  <c r="AD340" i="19"/>
  <c r="AD341" i="19"/>
  <c r="AE341" i="19" s="1"/>
  <c r="AD342" i="19"/>
  <c r="AE342" i="19" s="1"/>
  <c r="AD343" i="19"/>
  <c r="AD344" i="19"/>
  <c r="AD345" i="19"/>
  <c r="AD346" i="19"/>
  <c r="AD347" i="19"/>
  <c r="AE347" i="19" s="1"/>
  <c r="AD348" i="19"/>
  <c r="AE348" i="19" s="1"/>
  <c r="AD349" i="19"/>
  <c r="AE349" i="19" s="1"/>
  <c r="AD350" i="19"/>
  <c r="AE350" i="19" s="1"/>
  <c r="AD351" i="19"/>
  <c r="AE351" i="19" s="1"/>
  <c r="AD352" i="19"/>
  <c r="AD353" i="19"/>
  <c r="AD354" i="19"/>
  <c r="AD355" i="19"/>
  <c r="AD356" i="19"/>
  <c r="AE356" i="19" s="1"/>
  <c r="AD357" i="19"/>
  <c r="AE357" i="19" s="1"/>
  <c r="AD358" i="19"/>
  <c r="AE358" i="19" s="1"/>
  <c r="AD359" i="19"/>
  <c r="AE359" i="19" s="1"/>
  <c r="AD360" i="19"/>
  <c r="AE360" i="19" s="1"/>
  <c r="AD361" i="19"/>
  <c r="AD362" i="19"/>
  <c r="AD363" i="19"/>
  <c r="AE363" i="19" s="1"/>
  <c r="AD364" i="19"/>
  <c r="AE364" i="19" s="1"/>
  <c r="AD365" i="19"/>
  <c r="AE365" i="19" s="1"/>
  <c r="AD366" i="19"/>
  <c r="AE366" i="19" s="1"/>
  <c r="AD367" i="19"/>
  <c r="AE367" i="19" s="1"/>
  <c r="AD368" i="19"/>
  <c r="AD369" i="19"/>
  <c r="AA8" i="19"/>
  <c r="AB8" i="19" s="1"/>
  <c r="AA9" i="19"/>
  <c r="AA10" i="19"/>
  <c r="AA11" i="19"/>
  <c r="AB11" i="19" s="1"/>
  <c r="AA12" i="19"/>
  <c r="AA13" i="19"/>
  <c r="AA14" i="19"/>
  <c r="AA15" i="19"/>
  <c r="AB15" i="19" s="1"/>
  <c r="AA16" i="19"/>
  <c r="AB16" i="19" s="1"/>
  <c r="AA17" i="19"/>
  <c r="AB17" i="19" s="1"/>
  <c r="AA18" i="19"/>
  <c r="AB18" i="19" s="1"/>
  <c r="AA19" i="19"/>
  <c r="AB19" i="19" s="1"/>
  <c r="AA20" i="19"/>
  <c r="AB20" i="19" s="1"/>
  <c r="AA21" i="19"/>
  <c r="AB21" i="19" s="1"/>
  <c r="AA22" i="19"/>
  <c r="AB22" i="19" s="1"/>
  <c r="AA23" i="19"/>
  <c r="AB23" i="19" s="1"/>
  <c r="AA24" i="19"/>
  <c r="AA25" i="19"/>
  <c r="AB25" i="19" s="1"/>
  <c r="AA26" i="19"/>
  <c r="AA27" i="19"/>
  <c r="AB27" i="19" s="1"/>
  <c r="AA28" i="19"/>
  <c r="AB28" i="19" s="1"/>
  <c r="AA29" i="19"/>
  <c r="AB29" i="19" s="1"/>
  <c r="AA30" i="19"/>
  <c r="AA31" i="19"/>
  <c r="AA32" i="19"/>
  <c r="AA33" i="19"/>
  <c r="AB33" i="19" s="1"/>
  <c r="AA34" i="19"/>
  <c r="AA35" i="19"/>
  <c r="AA36" i="19"/>
  <c r="AA37" i="19"/>
  <c r="AA38" i="19"/>
  <c r="AA39" i="19"/>
  <c r="AA40" i="19"/>
  <c r="AA41" i="19"/>
  <c r="AB41" i="19" s="1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B56" i="19" s="1"/>
  <c r="AA57" i="19"/>
  <c r="AB57" i="19" s="1"/>
  <c r="AA58" i="19"/>
  <c r="AB58" i="19" s="1"/>
  <c r="AA59" i="19"/>
  <c r="AB59" i="19" s="1"/>
  <c r="AA60" i="19"/>
  <c r="AB60" i="19" s="1"/>
  <c r="AA61" i="19"/>
  <c r="AA62" i="19"/>
  <c r="AA63" i="19"/>
  <c r="AB63" i="19" s="1"/>
  <c r="AA64" i="19"/>
  <c r="AA65" i="19"/>
  <c r="AA66" i="19"/>
  <c r="AB66" i="19" s="1"/>
  <c r="AA67" i="19"/>
  <c r="AA68" i="19"/>
  <c r="AA69" i="19"/>
  <c r="AB69" i="19" s="1"/>
  <c r="AA70" i="19"/>
  <c r="AA71" i="19"/>
  <c r="AA72" i="19"/>
  <c r="AA73" i="19"/>
  <c r="AA74" i="19"/>
  <c r="AA75" i="19"/>
  <c r="AA76" i="19"/>
  <c r="AA77" i="19"/>
  <c r="AA78" i="19"/>
  <c r="AA79" i="19"/>
  <c r="AA80" i="19"/>
  <c r="AA81" i="19"/>
  <c r="AB81" i="19" s="1"/>
  <c r="AA82" i="19"/>
  <c r="AA83" i="19"/>
  <c r="AB83" i="19" s="1"/>
  <c r="AA84" i="19"/>
  <c r="AA85" i="19"/>
  <c r="AA86" i="19"/>
  <c r="AB86" i="19" s="1"/>
  <c r="AA87" i="19"/>
  <c r="AA88" i="19"/>
  <c r="AA89" i="19"/>
  <c r="AA90" i="19"/>
  <c r="AA91" i="19"/>
  <c r="AA92" i="19"/>
  <c r="AB92" i="19" s="1"/>
  <c r="AA93" i="19"/>
  <c r="AA94" i="19"/>
  <c r="AA95" i="19"/>
  <c r="AA96" i="19"/>
  <c r="AB96" i="19" s="1"/>
  <c r="AA97" i="19"/>
  <c r="AA98" i="19"/>
  <c r="AA99" i="19"/>
  <c r="AA100" i="19"/>
  <c r="AA101" i="19"/>
  <c r="AA102" i="19"/>
  <c r="AB102" i="19" s="1"/>
  <c r="AA103" i="19"/>
  <c r="AA104" i="19"/>
  <c r="AA105" i="19"/>
  <c r="AB105" i="19" s="1"/>
  <c r="AA106" i="19"/>
  <c r="AA107" i="19"/>
  <c r="AA108" i="19"/>
  <c r="AB108" i="19" s="1"/>
  <c r="AA109" i="19"/>
  <c r="AA110" i="19"/>
  <c r="AA111" i="19"/>
  <c r="AB111" i="19" s="1"/>
  <c r="AA112" i="19"/>
  <c r="AA113" i="19"/>
  <c r="AB113" i="19" s="1"/>
  <c r="AA114" i="19"/>
  <c r="AB114" i="19" s="1"/>
  <c r="AA115" i="19"/>
  <c r="AB115" i="19" s="1"/>
  <c r="AA116" i="19"/>
  <c r="AB116" i="19" s="1"/>
  <c r="AA117" i="19"/>
  <c r="AB117" i="19" s="1"/>
  <c r="AA118" i="19"/>
  <c r="AA119" i="19"/>
  <c r="AA120" i="19"/>
  <c r="AA121" i="19"/>
  <c r="AB121" i="19" s="1"/>
  <c r="AA122" i="19"/>
  <c r="AA123" i="19"/>
  <c r="AB123" i="19" s="1"/>
  <c r="AA124" i="19"/>
  <c r="AB124" i="19" s="1"/>
  <c r="AA125" i="19"/>
  <c r="AB125" i="19" s="1"/>
  <c r="AA126" i="19"/>
  <c r="AB126" i="19" s="1"/>
  <c r="AA127" i="19"/>
  <c r="AB127" i="19" s="1"/>
  <c r="AA128" i="19"/>
  <c r="AA129" i="19"/>
  <c r="AB129" i="19" s="1"/>
  <c r="AA130" i="19"/>
  <c r="AB130" i="19" s="1"/>
  <c r="AA131" i="19"/>
  <c r="AB131" i="19" s="1"/>
  <c r="AA132" i="19"/>
  <c r="AB132" i="19" s="1"/>
  <c r="AA133" i="19"/>
  <c r="AB133" i="19" s="1"/>
  <c r="AA134" i="19"/>
  <c r="AA135" i="19"/>
  <c r="AB135" i="19" s="1"/>
  <c r="AA136" i="19"/>
  <c r="AB136" i="19" s="1"/>
  <c r="AA137" i="19"/>
  <c r="AB137" i="19" s="1"/>
  <c r="AA138" i="19"/>
  <c r="AB138" i="19" s="1"/>
  <c r="AA139" i="19"/>
  <c r="AB139" i="19" s="1"/>
  <c r="AA140" i="19"/>
  <c r="AB140" i="19" s="1"/>
  <c r="AA141" i="19"/>
  <c r="AB141" i="19" s="1"/>
  <c r="AA142" i="19"/>
  <c r="AB142" i="19" s="1"/>
  <c r="AA143" i="19"/>
  <c r="AB143" i="19" s="1"/>
  <c r="AA144" i="19"/>
  <c r="AA145" i="19"/>
  <c r="AA146" i="19"/>
  <c r="AB146" i="19" s="1"/>
  <c r="AA147" i="19"/>
  <c r="AB147" i="19" s="1"/>
  <c r="AA148" i="19"/>
  <c r="AB148" i="19" s="1"/>
  <c r="AA149" i="19"/>
  <c r="AB149" i="19" s="1"/>
  <c r="AA150" i="19"/>
  <c r="AA151" i="19"/>
  <c r="AA152" i="19"/>
  <c r="AB152" i="19" s="1"/>
  <c r="AA153" i="19"/>
  <c r="AA154" i="19"/>
  <c r="AA155" i="19"/>
  <c r="AA156" i="19"/>
  <c r="AB156" i="19" s="1"/>
  <c r="AA157" i="19"/>
  <c r="AA158" i="19"/>
  <c r="AA159" i="19"/>
  <c r="AA160" i="19"/>
  <c r="AB160" i="19" s="1"/>
  <c r="AA161" i="19"/>
  <c r="AA162" i="19"/>
  <c r="AA163" i="19"/>
  <c r="AB163" i="19" s="1"/>
  <c r="AA164" i="19"/>
  <c r="AA165" i="19"/>
  <c r="AB165" i="19" s="1"/>
  <c r="AA166" i="19"/>
  <c r="AA167" i="19"/>
  <c r="AA168" i="19"/>
  <c r="AB168" i="19" s="1"/>
  <c r="AA169" i="19"/>
  <c r="AA170" i="19"/>
  <c r="AB170" i="19" s="1"/>
  <c r="AA171" i="19"/>
  <c r="AA172" i="19"/>
  <c r="AA173" i="19"/>
  <c r="AA174" i="19"/>
  <c r="AA175" i="19"/>
  <c r="AA176" i="19"/>
  <c r="AB176" i="19" s="1"/>
  <c r="AA177" i="19"/>
  <c r="AA178" i="19"/>
  <c r="AA179" i="19"/>
  <c r="AB179" i="19" s="1"/>
  <c r="AA180" i="19"/>
  <c r="AA181" i="19"/>
  <c r="AB181" i="19" s="1"/>
  <c r="AA182" i="19"/>
  <c r="AA183" i="19"/>
  <c r="AB183" i="19" s="1"/>
  <c r="AA184" i="19"/>
  <c r="AA185" i="19"/>
  <c r="AB185" i="19" s="1"/>
  <c r="AA186" i="19"/>
  <c r="AA187" i="19"/>
  <c r="AB187" i="19" s="1"/>
  <c r="AA188" i="19"/>
  <c r="AA189" i="19"/>
  <c r="AB189" i="19" s="1"/>
  <c r="AA190" i="19"/>
  <c r="AA191" i="19"/>
  <c r="AB191" i="19" s="1"/>
  <c r="AA192" i="19"/>
  <c r="AA193" i="19"/>
  <c r="AA194" i="19"/>
  <c r="AA195" i="19"/>
  <c r="AB195" i="19" s="1"/>
  <c r="AA196" i="19"/>
  <c r="AA197" i="19"/>
  <c r="AA198" i="19"/>
  <c r="AA199" i="19"/>
  <c r="AA200" i="19"/>
  <c r="AA201" i="19"/>
  <c r="AA202" i="19"/>
  <c r="AA203" i="19"/>
  <c r="AA204" i="19"/>
  <c r="AA205" i="19"/>
  <c r="AA206" i="19"/>
  <c r="AB206" i="19" s="1"/>
  <c r="AA207" i="19"/>
  <c r="AB207" i="19" s="1"/>
  <c r="AA208" i="19"/>
  <c r="AB208" i="19" s="1"/>
  <c r="AA209" i="19"/>
  <c r="AB209" i="19" s="1"/>
  <c r="AA210" i="19"/>
  <c r="AB210" i="19" s="1"/>
  <c r="AA211" i="19"/>
  <c r="AA212" i="19"/>
  <c r="AB212" i="19" s="1"/>
  <c r="AA213" i="19"/>
  <c r="AA214" i="19"/>
  <c r="AA215" i="19"/>
  <c r="AB215" i="19" s="1"/>
  <c r="AA216" i="19"/>
  <c r="AA217" i="19"/>
  <c r="AA218" i="19"/>
  <c r="AB218" i="19" s="1"/>
  <c r="AA219" i="19"/>
  <c r="AA220" i="19"/>
  <c r="AA221" i="19"/>
  <c r="AA222" i="19"/>
  <c r="AA223" i="19"/>
  <c r="AA224" i="19"/>
  <c r="AA225" i="19"/>
  <c r="AB225" i="19" s="1"/>
  <c r="AA226" i="19"/>
  <c r="AA227" i="19"/>
  <c r="AA228" i="19"/>
  <c r="AA229" i="19"/>
  <c r="AB229" i="19" s="1"/>
  <c r="AA230" i="19"/>
  <c r="AA231" i="19"/>
  <c r="AA232" i="19"/>
  <c r="AB232" i="19" s="1"/>
  <c r="AA233" i="19"/>
  <c r="AA234" i="19"/>
  <c r="AA235" i="19"/>
  <c r="AA236" i="19"/>
  <c r="AB236" i="19" s="1"/>
  <c r="AA237" i="19"/>
  <c r="AA238" i="19"/>
  <c r="AA239" i="19"/>
  <c r="AA240" i="19"/>
  <c r="AA241" i="19"/>
  <c r="AB241" i="19" s="1"/>
  <c r="AA242" i="19"/>
  <c r="AB242" i="19" s="1"/>
  <c r="AA243" i="19"/>
  <c r="AB243" i="19" s="1"/>
  <c r="AA244" i="19"/>
  <c r="AB244" i="19" s="1"/>
  <c r="AA245" i="19"/>
  <c r="AB245" i="19" s="1"/>
  <c r="AA246" i="19"/>
  <c r="AA247" i="19"/>
  <c r="AB247" i="19" s="1"/>
  <c r="AA248" i="19"/>
  <c r="AA249" i="19"/>
  <c r="AA250" i="19"/>
  <c r="AB250" i="19" s="1"/>
  <c r="AA251" i="19"/>
  <c r="AA252" i="19"/>
  <c r="AB252" i="19" s="1"/>
  <c r="AA253" i="19"/>
  <c r="AB253" i="19" s="1"/>
  <c r="AA254" i="19"/>
  <c r="AB254" i="19" s="1"/>
  <c r="AA255" i="19"/>
  <c r="AB255" i="19" s="1"/>
  <c r="AA256" i="19"/>
  <c r="AA257" i="19"/>
  <c r="AB257" i="19" s="1"/>
  <c r="AA258" i="19"/>
  <c r="AA259" i="19"/>
  <c r="AA260" i="19"/>
  <c r="AB260" i="19" s="1"/>
  <c r="AA261" i="19"/>
  <c r="AA262" i="19"/>
  <c r="AA263" i="19"/>
  <c r="AA264" i="19"/>
  <c r="AA265" i="19"/>
  <c r="AB265" i="19" s="1"/>
  <c r="AA266" i="19"/>
  <c r="AA267" i="19"/>
  <c r="AB267" i="19" s="1"/>
  <c r="AA268" i="19"/>
  <c r="AA269" i="19"/>
  <c r="AB269" i="19" s="1"/>
  <c r="AA270" i="19"/>
  <c r="AA271" i="19"/>
  <c r="AA272" i="19"/>
  <c r="AB272" i="19" s="1"/>
  <c r="AA273" i="19"/>
  <c r="AA274" i="19"/>
  <c r="AA275" i="19"/>
  <c r="AA276" i="19"/>
  <c r="AA277" i="19"/>
  <c r="AA278" i="19"/>
  <c r="AB278" i="19" s="1"/>
  <c r="AA279" i="19"/>
  <c r="AA280" i="19"/>
  <c r="AA281" i="19"/>
  <c r="AB281" i="19" s="1"/>
  <c r="AA282" i="19"/>
  <c r="AB282" i="19" s="1"/>
  <c r="AA283" i="19"/>
  <c r="AB283" i="19" s="1"/>
  <c r="AA284" i="19"/>
  <c r="AB284" i="19" s="1"/>
  <c r="AA285" i="19"/>
  <c r="AB285" i="19" s="1"/>
  <c r="AA286" i="19"/>
  <c r="AB286" i="19" s="1"/>
  <c r="AA287" i="19"/>
  <c r="AA288" i="19"/>
  <c r="AB288" i="19" s="1"/>
  <c r="AA289" i="19"/>
  <c r="AA290" i="19"/>
  <c r="AB290" i="19" s="1"/>
  <c r="AA291" i="19"/>
  <c r="AB291" i="19" s="1"/>
  <c r="AA292" i="19"/>
  <c r="AB292" i="19" s="1"/>
  <c r="AA293" i="19"/>
  <c r="AB293" i="19" s="1"/>
  <c r="AA294" i="19"/>
  <c r="AA295" i="19"/>
  <c r="AA296" i="19"/>
  <c r="AA297" i="19"/>
  <c r="AA298" i="19"/>
  <c r="AA299" i="19"/>
  <c r="AB299" i="19" s="1"/>
  <c r="AA300" i="19"/>
  <c r="AA301" i="19"/>
  <c r="AA302" i="19"/>
  <c r="AB302" i="19" s="1"/>
  <c r="AA303" i="19"/>
  <c r="AA304" i="19"/>
  <c r="AA305" i="19"/>
  <c r="AA306" i="19"/>
  <c r="AA307" i="19"/>
  <c r="AA308" i="19"/>
  <c r="AA309" i="19"/>
  <c r="AA310" i="19"/>
  <c r="AB310" i="19" s="1"/>
  <c r="AA311" i="19"/>
  <c r="AB311" i="19" s="1"/>
  <c r="AA312" i="19"/>
  <c r="AB312" i="19" s="1"/>
  <c r="AA313" i="19"/>
  <c r="AB313" i="19" s="1"/>
  <c r="AA314" i="19"/>
  <c r="AB314" i="19" s="1"/>
  <c r="AA315" i="19"/>
  <c r="AA316" i="19"/>
  <c r="AA317" i="19"/>
  <c r="AB317" i="19" s="1"/>
  <c r="AA318" i="19"/>
  <c r="AA319" i="19"/>
  <c r="AA320" i="19"/>
  <c r="AA321" i="19"/>
  <c r="AA322" i="19"/>
  <c r="AA323" i="19"/>
  <c r="AA324" i="19"/>
  <c r="AB324" i="19" s="1"/>
  <c r="AA325" i="19"/>
  <c r="AA326" i="19"/>
  <c r="AA327" i="19"/>
  <c r="AB327" i="19" s="1"/>
  <c r="AA328" i="19"/>
  <c r="AA329" i="19"/>
  <c r="AA330" i="19"/>
  <c r="AA331" i="19"/>
  <c r="AA332" i="19"/>
  <c r="AA333" i="19"/>
  <c r="AA334" i="19"/>
  <c r="AA335" i="19"/>
  <c r="AB335" i="19" s="1"/>
  <c r="AA336" i="19"/>
  <c r="AA337" i="19"/>
  <c r="AA338" i="19"/>
  <c r="AA339" i="19"/>
  <c r="AA340" i="19"/>
  <c r="AA341" i="19"/>
  <c r="AA342" i="19"/>
  <c r="AB342" i="19" s="1"/>
  <c r="AA343" i="19"/>
  <c r="AA344" i="19"/>
  <c r="AA345" i="19"/>
  <c r="AA346" i="19"/>
  <c r="AA347" i="19"/>
  <c r="AB347" i="19" s="1"/>
  <c r="AA348" i="19"/>
  <c r="AB348" i="19" s="1"/>
  <c r="AA349" i="19"/>
  <c r="AB349" i="19" s="1"/>
  <c r="AA350" i="19"/>
  <c r="AB350" i="19" s="1"/>
  <c r="AA351" i="19"/>
  <c r="AB351" i="19" s="1"/>
  <c r="AA352" i="19"/>
  <c r="AA353" i="19"/>
  <c r="AA354" i="19"/>
  <c r="AA355" i="19"/>
  <c r="AA356" i="19"/>
  <c r="AB356" i="19" s="1"/>
  <c r="AA357" i="19"/>
  <c r="AB357" i="19" s="1"/>
  <c r="AA358" i="19"/>
  <c r="AB358" i="19" s="1"/>
  <c r="AA359" i="19"/>
  <c r="AB359" i="19" s="1"/>
  <c r="AA360" i="19"/>
  <c r="AB360" i="19" s="1"/>
  <c r="AA361" i="19"/>
  <c r="AA362" i="19"/>
  <c r="AA363" i="19"/>
  <c r="AB363" i="19" s="1"/>
  <c r="AA364" i="19"/>
  <c r="AB364" i="19" s="1"/>
  <c r="AA365" i="19"/>
  <c r="AB365" i="19" s="1"/>
  <c r="AA366" i="19"/>
  <c r="AB366" i="19" s="1"/>
  <c r="AA367" i="19"/>
  <c r="AB367" i="19" s="1"/>
  <c r="AA368" i="19"/>
  <c r="AB368" i="19" s="1"/>
  <c r="AA369" i="19"/>
  <c r="AB369" i="19" s="1"/>
  <c r="X8" i="19"/>
  <c r="Y8" i="19" s="1"/>
  <c r="X9" i="19"/>
  <c r="X10" i="19"/>
  <c r="X11" i="19"/>
  <c r="Y11" i="19" s="1"/>
  <c r="X12" i="19"/>
  <c r="X13" i="19"/>
  <c r="X14" i="19"/>
  <c r="X15" i="19"/>
  <c r="Y15" i="19" s="1"/>
  <c r="X16" i="19"/>
  <c r="Y16" i="19" s="1"/>
  <c r="X17" i="19"/>
  <c r="Y17" i="19" s="1"/>
  <c r="X18" i="19"/>
  <c r="Y18" i="19" s="1"/>
  <c r="X19" i="19"/>
  <c r="Y19" i="19" s="1"/>
  <c r="X20" i="19"/>
  <c r="Y20" i="19" s="1"/>
  <c r="X21" i="19"/>
  <c r="Y21" i="19" s="1"/>
  <c r="X22" i="19"/>
  <c r="Y22" i="19" s="1"/>
  <c r="X23" i="19"/>
  <c r="Y23" i="19" s="1"/>
  <c r="X24" i="19"/>
  <c r="X25" i="19"/>
  <c r="Y25" i="19" s="1"/>
  <c r="X26" i="19"/>
  <c r="X27" i="19"/>
  <c r="Y27" i="19" s="1"/>
  <c r="X28" i="19"/>
  <c r="X29" i="19"/>
  <c r="Y29" i="19" s="1"/>
  <c r="X30" i="19"/>
  <c r="X31" i="19"/>
  <c r="X32" i="19"/>
  <c r="X33" i="19"/>
  <c r="Y33" i="19" s="1"/>
  <c r="X34" i="19"/>
  <c r="X35" i="19"/>
  <c r="X36" i="19"/>
  <c r="X37" i="19"/>
  <c r="X38" i="19"/>
  <c r="X39" i="19"/>
  <c r="X40" i="19"/>
  <c r="X41" i="19"/>
  <c r="Y41" i="19" s="1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Y56" i="19" s="1"/>
  <c r="X57" i="19"/>
  <c r="Y57" i="19" s="1"/>
  <c r="X58" i="19"/>
  <c r="Y58" i="19" s="1"/>
  <c r="X59" i="19"/>
  <c r="Y59" i="19" s="1"/>
  <c r="X60" i="19"/>
  <c r="Y60" i="19" s="1"/>
  <c r="X61" i="19"/>
  <c r="X62" i="19"/>
  <c r="X63" i="19"/>
  <c r="Y63" i="19" s="1"/>
  <c r="X64" i="19"/>
  <c r="X65" i="19"/>
  <c r="X66" i="19"/>
  <c r="Y66" i="19" s="1"/>
  <c r="X67" i="19"/>
  <c r="X68" i="19"/>
  <c r="X69" i="19"/>
  <c r="Y69" i="19" s="1"/>
  <c r="X70" i="19"/>
  <c r="X71" i="19"/>
  <c r="X72" i="19"/>
  <c r="X73" i="19"/>
  <c r="X74" i="19"/>
  <c r="X75" i="19"/>
  <c r="X76" i="19"/>
  <c r="X77" i="19"/>
  <c r="X78" i="19"/>
  <c r="X79" i="19"/>
  <c r="X80" i="19"/>
  <c r="X81" i="19"/>
  <c r="Y81" i="19" s="1"/>
  <c r="X82" i="19"/>
  <c r="X83" i="19"/>
  <c r="Y83" i="19" s="1"/>
  <c r="X84" i="19"/>
  <c r="X85" i="19"/>
  <c r="X86" i="19"/>
  <c r="Y86" i="19" s="1"/>
  <c r="X87" i="19"/>
  <c r="X88" i="19"/>
  <c r="X89" i="19"/>
  <c r="X90" i="19"/>
  <c r="X91" i="19"/>
  <c r="X92" i="19"/>
  <c r="Y92" i="19" s="1"/>
  <c r="X93" i="19"/>
  <c r="X94" i="19"/>
  <c r="X95" i="19"/>
  <c r="X96" i="19"/>
  <c r="Y96" i="19" s="1"/>
  <c r="X97" i="19"/>
  <c r="X98" i="19"/>
  <c r="X99" i="19"/>
  <c r="X100" i="19"/>
  <c r="X101" i="19"/>
  <c r="X102" i="19"/>
  <c r="Y102" i="19" s="1"/>
  <c r="X103" i="19"/>
  <c r="X104" i="19"/>
  <c r="X105" i="19"/>
  <c r="Y105" i="19" s="1"/>
  <c r="X106" i="19"/>
  <c r="X107" i="19"/>
  <c r="X108" i="19"/>
  <c r="Y108" i="19" s="1"/>
  <c r="X109" i="19"/>
  <c r="X110" i="19"/>
  <c r="X111" i="19"/>
  <c r="Y111" i="19" s="1"/>
  <c r="X112" i="19"/>
  <c r="X113" i="19"/>
  <c r="Y113" i="19" s="1"/>
  <c r="X114" i="19"/>
  <c r="Y114" i="19" s="1"/>
  <c r="X115" i="19"/>
  <c r="Y115" i="19" s="1"/>
  <c r="X116" i="19"/>
  <c r="Y116" i="19" s="1"/>
  <c r="X117" i="19"/>
  <c r="Y117" i="19" s="1"/>
  <c r="X118" i="19"/>
  <c r="X119" i="19"/>
  <c r="X120" i="19"/>
  <c r="X121" i="19"/>
  <c r="Y121" i="19" s="1"/>
  <c r="X122" i="19"/>
  <c r="X123" i="19"/>
  <c r="Y123" i="19" s="1"/>
  <c r="X124" i="19"/>
  <c r="Y124" i="19" s="1"/>
  <c r="X125" i="19"/>
  <c r="Y125" i="19" s="1"/>
  <c r="X126" i="19"/>
  <c r="Y126" i="19" s="1"/>
  <c r="X127" i="19"/>
  <c r="Y127" i="19" s="1"/>
  <c r="X128" i="19"/>
  <c r="X129" i="19"/>
  <c r="Y129" i="19" s="1"/>
  <c r="X130" i="19"/>
  <c r="Y130" i="19" s="1"/>
  <c r="X131" i="19"/>
  <c r="Y131" i="19" s="1"/>
  <c r="X132" i="19"/>
  <c r="Y132" i="19" s="1"/>
  <c r="X133" i="19"/>
  <c r="Y133" i="19" s="1"/>
  <c r="X134" i="19"/>
  <c r="X135" i="19"/>
  <c r="Y135" i="19" s="1"/>
  <c r="X136" i="19"/>
  <c r="Y136" i="19" s="1"/>
  <c r="X137" i="19"/>
  <c r="Y137" i="19" s="1"/>
  <c r="X138" i="19"/>
  <c r="Y138" i="19" s="1"/>
  <c r="X139" i="19"/>
  <c r="Y139" i="19" s="1"/>
  <c r="X140" i="19"/>
  <c r="Y140" i="19" s="1"/>
  <c r="X141" i="19"/>
  <c r="Y141" i="19" s="1"/>
  <c r="X142" i="19"/>
  <c r="Y142" i="19" s="1"/>
  <c r="X143" i="19"/>
  <c r="Y143" i="19" s="1"/>
  <c r="X144" i="19"/>
  <c r="X145" i="19"/>
  <c r="X146" i="19"/>
  <c r="Y146" i="19" s="1"/>
  <c r="X147" i="19"/>
  <c r="Y147" i="19" s="1"/>
  <c r="X148" i="19"/>
  <c r="Y148" i="19" s="1"/>
  <c r="X149" i="19"/>
  <c r="Y149" i="19" s="1"/>
  <c r="X150" i="19"/>
  <c r="X151" i="19"/>
  <c r="X152" i="19"/>
  <c r="Y152" i="19" s="1"/>
  <c r="X153" i="19"/>
  <c r="X154" i="19"/>
  <c r="X155" i="19"/>
  <c r="X156" i="19"/>
  <c r="Y156" i="19" s="1"/>
  <c r="X157" i="19"/>
  <c r="X158" i="19"/>
  <c r="X159" i="19"/>
  <c r="X160" i="19"/>
  <c r="Y160" i="19" s="1"/>
  <c r="X161" i="19"/>
  <c r="X162" i="19"/>
  <c r="X163" i="19"/>
  <c r="Y163" i="19" s="1"/>
  <c r="X164" i="19"/>
  <c r="X165" i="19"/>
  <c r="Y165" i="19" s="1"/>
  <c r="X166" i="19"/>
  <c r="X167" i="19"/>
  <c r="X168" i="19"/>
  <c r="Y168" i="19" s="1"/>
  <c r="X169" i="19"/>
  <c r="X170" i="19"/>
  <c r="Y170" i="19" s="1"/>
  <c r="X171" i="19"/>
  <c r="X172" i="19"/>
  <c r="X173" i="19"/>
  <c r="X174" i="19"/>
  <c r="X175" i="19"/>
  <c r="X176" i="19"/>
  <c r="Y176" i="19" s="1"/>
  <c r="X177" i="19"/>
  <c r="X178" i="19"/>
  <c r="X179" i="19"/>
  <c r="Y179" i="19" s="1"/>
  <c r="X180" i="19"/>
  <c r="X181" i="19"/>
  <c r="Y181" i="19" s="1"/>
  <c r="X182" i="19"/>
  <c r="X183" i="19"/>
  <c r="Y183" i="19" s="1"/>
  <c r="X184" i="19"/>
  <c r="X185" i="19"/>
  <c r="Y185" i="19" s="1"/>
  <c r="X186" i="19"/>
  <c r="X187" i="19"/>
  <c r="Y187" i="19" s="1"/>
  <c r="X188" i="19"/>
  <c r="X189" i="19"/>
  <c r="Y189" i="19" s="1"/>
  <c r="X190" i="19"/>
  <c r="X191" i="19"/>
  <c r="Y191" i="19" s="1"/>
  <c r="X192" i="19"/>
  <c r="X193" i="19"/>
  <c r="X194" i="19"/>
  <c r="X195" i="19"/>
  <c r="Y195" i="19" s="1"/>
  <c r="X196" i="19"/>
  <c r="X197" i="19"/>
  <c r="X198" i="19"/>
  <c r="X199" i="19"/>
  <c r="X200" i="19"/>
  <c r="X201" i="19"/>
  <c r="X202" i="19"/>
  <c r="X203" i="19"/>
  <c r="X204" i="19"/>
  <c r="X205" i="19"/>
  <c r="X206" i="19"/>
  <c r="Y206" i="19" s="1"/>
  <c r="X207" i="19"/>
  <c r="Y207" i="19" s="1"/>
  <c r="X208" i="19"/>
  <c r="Y208" i="19" s="1"/>
  <c r="X209" i="19"/>
  <c r="Y209" i="19" s="1"/>
  <c r="X210" i="19"/>
  <c r="Y210" i="19" s="1"/>
  <c r="X211" i="19"/>
  <c r="X212" i="19"/>
  <c r="Y212" i="19" s="1"/>
  <c r="X213" i="19"/>
  <c r="X214" i="19"/>
  <c r="X215" i="19"/>
  <c r="Y215" i="19" s="1"/>
  <c r="X216" i="19"/>
  <c r="X217" i="19"/>
  <c r="X218" i="19"/>
  <c r="Y218" i="19" s="1"/>
  <c r="X219" i="19"/>
  <c r="X220" i="19"/>
  <c r="X221" i="19"/>
  <c r="X222" i="19"/>
  <c r="X223" i="19"/>
  <c r="X224" i="19"/>
  <c r="X225" i="19"/>
  <c r="Y225" i="19" s="1"/>
  <c r="X226" i="19"/>
  <c r="X227" i="19"/>
  <c r="X228" i="19"/>
  <c r="X229" i="19"/>
  <c r="Y229" i="19" s="1"/>
  <c r="X230" i="19"/>
  <c r="X231" i="19"/>
  <c r="X232" i="19"/>
  <c r="Y232" i="19" s="1"/>
  <c r="X233" i="19"/>
  <c r="X234" i="19"/>
  <c r="X235" i="19"/>
  <c r="X236" i="19"/>
  <c r="Y236" i="19" s="1"/>
  <c r="X237" i="19"/>
  <c r="X238" i="19"/>
  <c r="X239" i="19"/>
  <c r="X240" i="19"/>
  <c r="X241" i="19"/>
  <c r="Y241" i="19" s="1"/>
  <c r="X242" i="19"/>
  <c r="Y242" i="19" s="1"/>
  <c r="X243" i="19"/>
  <c r="Y243" i="19" s="1"/>
  <c r="X244" i="19"/>
  <c r="Y244" i="19" s="1"/>
  <c r="X245" i="19"/>
  <c r="Y245" i="19" s="1"/>
  <c r="X246" i="19"/>
  <c r="X247" i="19"/>
  <c r="Y247" i="19" s="1"/>
  <c r="X248" i="19"/>
  <c r="X249" i="19"/>
  <c r="X250" i="19"/>
  <c r="Y250" i="19" s="1"/>
  <c r="X251" i="19"/>
  <c r="X252" i="19"/>
  <c r="Y252" i="19" s="1"/>
  <c r="X253" i="19"/>
  <c r="Y253" i="19" s="1"/>
  <c r="X254" i="19"/>
  <c r="Y254" i="19" s="1"/>
  <c r="X255" i="19"/>
  <c r="Y255" i="19" s="1"/>
  <c r="X256" i="19"/>
  <c r="X257" i="19"/>
  <c r="Y257" i="19" s="1"/>
  <c r="X258" i="19"/>
  <c r="X259" i="19"/>
  <c r="X260" i="19"/>
  <c r="Y260" i="19" s="1"/>
  <c r="X261" i="19"/>
  <c r="X262" i="19"/>
  <c r="X263" i="19"/>
  <c r="X264" i="19"/>
  <c r="X265" i="19"/>
  <c r="Y265" i="19" s="1"/>
  <c r="X266" i="19"/>
  <c r="X267" i="19"/>
  <c r="Y267" i="19" s="1"/>
  <c r="X268" i="19"/>
  <c r="X269" i="19"/>
  <c r="Y269" i="19" s="1"/>
  <c r="X270" i="19"/>
  <c r="X271" i="19"/>
  <c r="X272" i="19"/>
  <c r="Y272" i="19" s="1"/>
  <c r="X273" i="19"/>
  <c r="X274" i="19"/>
  <c r="X275" i="19"/>
  <c r="X276" i="19"/>
  <c r="X277" i="19"/>
  <c r="X278" i="19"/>
  <c r="Y278" i="19" s="1"/>
  <c r="X279" i="19"/>
  <c r="X280" i="19"/>
  <c r="X281" i="19"/>
  <c r="Y281" i="19" s="1"/>
  <c r="X282" i="19"/>
  <c r="X283" i="19"/>
  <c r="Y283" i="19" s="1"/>
  <c r="X284" i="19"/>
  <c r="Y284" i="19" s="1"/>
  <c r="X285" i="19"/>
  <c r="Y285" i="19" s="1"/>
  <c r="X286" i="19"/>
  <c r="Y286" i="19" s="1"/>
  <c r="X287" i="19"/>
  <c r="X288" i="19"/>
  <c r="Y288" i="19" s="1"/>
  <c r="X289" i="19"/>
  <c r="X290" i="19"/>
  <c r="Y290" i="19" s="1"/>
  <c r="X291" i="19"/>
  <c r="Y291" i="19" s="1"/>
  <c r="X292" i="19"/>
  <c r="Y292" i="19" s="1"/>
  <c r="X293" i="19"/>
  <c r="Y293" i="19" s="1"/>
  <c r="X294" i="19"/>
  <c r="X295" i="19"/>
  <c r="X296" i="19"/>
  <c r="X297" i="19"/>
  <c r="X298" i="19"/>
  <c r="X299" i="19"/>
  <c r="Y299" i="19" s="1"/>
  <c r="X300" i="19"/>
  <c r="X301" i="19"/>
  <c r="X302" i="19"/>
  <c r="Y302" i="19" s="1"/>
  <c r="X303" i="19"/>
  <c r="X304" i="19"/>
  <c r="X305" i="19"/>
  <c r="X306" i="19"/>
  <c r="X307" i="19"/>
  <c r="X308" i="19"/>
  <c r="X309" i="19"/>
  <c r="X310" i="19"/>
  <c r="Y310" i="19" s="1"/>
  <c r="X311" i="19"/>
  <c r="Y311" i="19" s="1"/>
  <c r="X312" i="19"/>
  <c r="Y312" i="19" s="1"/>
  <c r="X313" i="19"/>
  <c r="Y313" i="19" s="1"/>
  <c r="X314" i="19"/>
  <c r="Y314" i="19" s="1"/>
  <c r="X315" i="19"/>
  <c r="X316" i="19"/>
  <c r="X317" i="19"/>
  <c r="Y317" i="19" s="1"/>
  <c r="X318" i="19"/>
  <c r="X319" i="19"/>
  <c r="X320" i="19"/>
  <c r="X321" i="19"/>
  <c r="X322" i="19"/>
  <c r="X323" i="19"/>
  <c r="X324" i="19"/>
  <c r="Y324" i="19" s="1"/>
  <c r="X325" i="19"/>
  <c r="X326" i="19"/>
  <c r="X327" i="19"/>
  <c r="Y327" i="19" s="1"/>
  <c r="X328" i="19"/>
  <c r="X329" i="19"/>
  <c r="X330" i="19"/>
  <c r="X331" i="19"/>
  <c r="X332" i="19"/>
  <c r="X333" i="19"/>
  <c r="X334" i="19"/>
  <c r="X335" i="19"/>
  <c r="Y335" i="19" s="1"/>
  <c r="X336" i="19"/>
  <c r="X337" i="19"/>
  <c r="X338" i="19"/>
  <c r="X339" i="19"/>
  <c r="X340" i="19"/>
  <c r="X341" i="19"/>
  <c r="Y341" i="19" s="1"/>
  <c r="X342" i="19"/>
  <c r="Y342" i="19" s="1"/>
  <c r="X343" i="19"/>
  <c r="X344" i="19"/>
  <c r="X345" i="19"/>
  <c r="X346" i="19"/>
  <c r="X347" i="19"/>
  <c r="Y347" i="19" s="1"/>
  <c r="X348" i="19"/>
  <c r="Y348" i="19" s="1"/>
  <c r="X349" i="19"/>
  <c r="Y349" i="19" s="1"/>
  <c r="X350" i="19"/>
  <c r="Y350" i="19" s="1"/>
  <c r="X351" i="19"/>
  <c r="Y351" i="19" s="1"/>
  <c r="X352" i="19"/>
  <c r="X353" i="19"/>
  <c r="X354" i="19"/>
  <c r="X355" i="19"/>
  <c r="X356" i="19"/>
  <c r="Y356" i="19" s="1"/>
  <c r="X357" i="19"/>
  <c r="Y357" i="19" s="1"/>
  <c r="X358" i="19"/>
  <c r="Y358" i="19" s="1"/>
  <c r="X359" i="19"/>
  <c r="Y359" i="19" s="1"/>
  <c r="X360" i="19"/>
  <c r="Y360" i="19" s="1"/>
  <c r="X361" i="19"/>
  <c r="X362" i="19"/>
  <c r="X363" i="19"/>
  <c r="Y363" i="19" s="1"/>
  <c r="X364" i="19"/>
  <c r="Y364" i="19" s="1"/>
  <c r="X365" i="19"/>
  <c r="Y365" i="19" s="1"/>
  <c r="X366" i="19"/>
  <c r="Y366" i="19" s="1"/>
  <c r="X367" i="19"/>
  <c r="Y367" i="19" s="1"/>
  <c r="X368" i="19"/>
  <c r="X369" i="19"/>
  <c r="U8" i="19"/>
  <c r="V8" i="19" s="1"/>
  <c r="U9" i="19"/>
  <c r="U10" i="19"/>
  <c r="U11" i="19"/>
  <c r="V11" i="19" s="1"/>
  <c r="U12" i="19"/>
  <c r="U13" i="19"/>
  <c r="U14" i="19"/>
  <c r="U15" i="19"/>
  <c r="V15" i="19" s="1"/>
  <c r="U16" i="19"/>
  <c r="V16" i="19" s="1"/>
  <c r="U17" i="19"/>
  <c r="V17" i="19" s="1"/>
  <c r="U18" i="19"/>
  <c r="V18" i="19" s="1"/>
  <c r="U19" i="19"/>
  <c r="V19" i="19" s="1"/>
  <c r="U20" i="19"/>
  <c r="V20" i="19" s="1"/>
  <c r="U21" i="19"/>
  <c r="V21" i="19" s="1"/>
  <c r="U22" i="19"/>
  <c r="V22" i="19" s="1"/>
  <c r="U23" i="19"/>
  <c r="V23" i="19" s="1"/>
  <c r="U24" i="19"/>
  <c r="U25" i="19"/>
  <c r="V25" i="19" s="1"/>
  <c r="U26" i="19"/>
  <c r="U27" i="19"/>
  <c r="V27" i="19" s="1"/>
  <c r="U28" i="19"/>
  <c r="V28" i="19" s="1"/>
  <c r="U29" i="19"/>
  <c r="V29" i="19" s="1"/>
  <c r="U30" i="19"/>
  <c r="U31" i="19"/>
  <c r="U32" i="19"/>
  <c r="U33" i="19"/>
  <c r="V33" i="19" s="1"/>
  <c r="U34" i="19"/>
  <c r="U35" i="19"/>
  <c r="U36" i="19"/>
  <c r="U37" i="19"/>
  <c r="U38" i="19"/>
  <c r="U39" i="19"/>
  <c r="U40" i="19"/>
  <c r="U41" i="19"/>
  <c r="V41" i="19" s="1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V56" i="19" s="1"/>
  <c r="U57" i="19"/>
  <c r="V57" i="19" s="1"/>
  <c r="U58" i="19"/>
  <c r="V58" i="19" s="1"/>
  <c r="U59" i="19"/>
  <c r="V59" i="19" s="1"/>
  <c r="U60" i="19"/>
  <c r="V60" i="19" s="1"/>
  <c r="U61" i="19"/>
  <c r="U62" i="19"/>
  <c r="U63" i="19"/>
  <c r="V63" i="19" s="1"/>
  <c r="U64" i="19"/>
  <c r="U65" i="19"/>
  <c r="U66" i="19"/>
  <c r="V66" i="19" s="1"/>
  <c r="U67" i="19"/>
  <c r="U68" i="19"/>
  <c r="U69" i="19"/>
  <c r="V69" i="19" s="1"/>
  <c r="U70" i="19"/>
  <c r="U71" i="19"/>
  <c r="U72" i="19"/>
  <c r="U73" i="19"/>
  <c r="U74" i="19"/>
  <c r="U75" i="19"/>
  <c r="U76" i="19"/>
  <c r="U77" i="19"/>
  <c r="U78" i="19"/>
  <c r="U79" i="19"/>
  <c r="U80" i="19"/>
  <c r="U81" i="19"/>
  <c r="V81" i="19" s="1"/>
  <c r="U82" i="19"/>
  <c r="U83" i="19"/>
  <c r="V83" i="19" s="1"/>
  <c r="U84" i="19"/>
  <c r="U85" i="19"/>
  <c r="U86" i="19"/>
  <c r="V86" i="19" s="1"/>
  <c r="U87" i="19"/>
  <c r="U88" i="19"/>
  <c r="U89" i="19"/>
  <c r="U90" i="19"/>
  <c r="U91" i="19"/>
  <c r="U92" i="19"/>
  <c r="V92" i="19" s="1"/>
  <c r="U93" i="19"/>
  <c r="U94" i="19"/>
  <c r="U95" i="19"/>
  <c r="U96" i="19"/>
  <c r="V96" i="19" s="1"/>
  <c r="U97" i="19"/>
  <c r="U98" i="19"/>
  <c r="U99" i="19"/>
  <c r="U100" i="19"/>
  <c r="U101" i="19"/>
  <c r="U102" i="19"/>
  <c r="V102" i="19" s="1"/>
  <c r="U103" i="19"/>
  <c r="U104" i="19"/>
  <c r="U105" i="19"/>
  <c r="V105" i="19" s="1"/>
  <c r="U106" i="19"/>
  <c r="U107" i="19"/>
  <c r="U108" i="19"/>
  <c r="V108" i="19" s="1"/>
  <c r="U109" i="19"/>
  <c r="U110" i="19"/>
  <c r="U111" i="19"/>
  <c r="V111" i="19" s="1"/>
  <c r="U112" i="19"/>
  <c r="U113" i="19"/>
  <c r="V113" i="19" s="1"/>
  <c r="U114" i="19"/>
  <c r="V114" i="19" s="1"/>
  <c r="U115" i="19"/>
  <c r="V115" i="19" s="1"/>
  <c r="U116" i="19"/>
  <c r="V116" i="19" s="1"/>
  <c r="U117" i="19"/>
  <c r="V117" i="19" s="1"/>
  <c r="U118" i="19"/>
  <c r="U119" i="19"/>
  <c r="U120" i="19"/>
  <c r="U121" i="19"/>
  <c r="V121" i="19" s="1"/>
  <c r="U122" i="19"/>
  <c r="U123" i="19"/>
  <c r="V123" i="19" s="1"/>
  <c r="U124" i="19"/>
  <c r="V124" i="19" s="1"/>
  <c r="U125" i="19"/>
  <c r="V125" i="19" s="1"/>
  <c r="U126" i="19"/>
  <c r="V126" i="19" s="1"/>
  <c r="U127" i="19"/>
  <c r="V127" i="19" s="1"/>
  <c r="U128" i="19"/>
  <c r="U129" i="19"/>
  <c r="V129" i="19" s="1"/>
  <c r="U130" i="19"/>
  <c r="V130" i="19" s="1"/>
  <c r="U131" i="19"/>
  <c r="V131" i="19" s="1"/>
  <c r="U132" i="19"/>
  <c r="V132" i="19" s="1"/>
  <c r="U133" i="19"/>
  <c r="V133" i="19" s="1"/>
  <c r="U134" i="19"/>
  <c r="U135" i="19"/>
  <c r="V135" i="19" s="1"/>
  <c r="U136" i="19"/>
  <c r="V136" i="19" s="1"/>
  <c r="U137" i="19"/>
  <c r="V137" i="19" s="1"/>
  <c r="U138" i="19"/>
  <c r="V138" i="19" s="1"/>
  <c r="U139" i="19"/>
  <c r="V139" i="19" s="1"/>
  <c r="U140" i="19"/>
  <c r="V140" i="19" s="1"/>
  <c r="U141" i="19"/>
  <c r="V141" i="19" s="1"/>
  <c r="U142" i="19"/>
  <c r="V142" i="19" s="1"/>
  <c r="U143" i="19"/>
  <c r="V143" i="19" s="1"/>
  <c r="U144" i="19"/>
  <c r="U145" i="19"/>
  <c r="U146" i="19"/>
  <c r="V146" i="19" s="1"/>
  <c r="U147" i="19"/>
  <c r="V147" i="19" s="1"/>
  <c r="U148" i="19"/>
  <c r="V148" i="19" s="1"/>
  <c r="U149" i="19"/>
  <c r="V149" i="19" s="1"/>
  <c r="U150" i="19"/>
  <c r="U151" i="19"/>
  <c r="U152" i="19"/>
  <c r="V152" i="19" s="1"/>
  <c r="U153" i="19"/>
  <c r="U154" i="19"/>
  <c r="U155" i="19"/>
  <c r="U156" i="19"/>
  <c r="V156" i="19" s="1"/>
  <c r="U157" i="19"/>
  <c r="U158" i="19"/>
  <c r="U159" i="19"/>
  <c r="U160" i="19"/>
  <c r="V160" i="19" s="1"/>
  <c r="U161" i="19"/>
  <c r="U162" i="19"/>
  <c r="U163" i="19"/>
  <c r="V163" i="19" s="1"/>
  <c r="U164" i="19"/>
  <c r="U165" i="19"/>
  <c r="V165" i="19" s="1"/>
  <c r="U166" i="19"/>
  <c r="U167" i="19"/>
  <c r="U168" i="19"/>
  <c r="V168" i="19" s="1"/>
  <c r="U169" i="19"/>
  <c r="U170" i="19"/>
  <c r="V170" i="19" s="1"/>
  <c r="U171" i="19"/>
  <c r="U172" i="19"/>
  <c r="U173" i="19"/>
  <c r="U174" i="19"/>
  <c r="U175" i="19"/>
  <c r="U176" i="19"/>
  <c r="V176" i="19" s="1"/>
  <c r="U177" i="19"/>
  <c r="U178" i="19"/>
  <c r="U179" i="19"/>
  <c r="V179" i="19" s="1"/>
  <c r="U180" i="19"/>
  <c r="U181" i="19"/>
  <c r="V181" i="19" s="1"/>
  <c r="U182" i="19"/>
  <c r="U183" i="19"/>
  <c r="V183" i="19" s="1"/>
  <c r="U184" i="19"/>
  <c r="U185" i="19"/>
  <c r="V185" i="19" s="1"/>
  <c r="U186" i="19"/>
  <c r="U187" i="19"/>
  <c r="V187" i="19" s="1"/>
  <c r="U188" i="19"/>
  <c r="U189" i="19"/>
  <c r="V189" i="19" s="1"/>
  <c r="U190" i="19"/>
  <c r="U191" i="19"/>
  <c r="V191" i="19" s="1"/>
  <c r="U192" i="19"/>
  <c r="U193" i="19"/>
  <c r="U194" i="19"/>
  <c r="U195" i="19"/>
  <c r="V195" i="19" s="1"/>
  <c r="U196" i="19"/>
  <c r="U197" i="19"/>
  <c r="U198" i="19"/>
  <c r="U199" i="19"/>
  <c r="U200" i="19"/>
  <c r="U201" i="19"/>
  <c r="U202" i="19"/>
  <c r="U203" i="19"/>
  <c r="U204" i="19"/>
  <c r="U205" i="19"/>
  <c r="U206" i="19"/>
  <c r="V206" i="19" s="1"/>
  <c r="U207" i="19"/>
  <c r="V207" i="19" s="1"/>
  <c r="U208" i="19"/>
  <c r="V208" i="19" s="1"/>
  <c r="U209" i="19"/>
  <c r="V209" i="19" s="1"/>
  <c r="U210" i="19"/>
  <c r="V210" i="19" s="1"/>
  <c r="U211" i="19"/>
  <c r="U212" i="19"/>
  <c r="V212" i="19" s="1"/>
  <c r="U213" i="19"/>
  <c r="U214" i="19"/>
  <c r="U215" i="19"/>
  <c r="V215" i="19" s="1"/>
  <c r="U216" i="19"/>
  <c r="U217" i="19"/>
  <c r="U218" i="19"/>
  <c r="V218" i="19" s="1"/>
  <c r="U219" i="19"/>
  <c r="U220" i="19"/>
  <c r="U221" i="19"/>
  <c r="U222" i="19"/>
  <c r="U223" i="19"/>
  <c r="U224" i="19"/>
  <c r="U225" i="19"/>
  <c r="V225" i="19" s="1"/>
  <c r="U226" i="19"/>
  <c r="U227" i="19"/>
  <c r="U228" i="19"/>
  <c r="U229" i="19"/>
  <c r="V229" i="19" s="1"/>
  <c r="U230" i="19"/>
  <c r="U231" i="19"/>
  <c r="U232" i="19"/>
  <c r="V232" i="19" s="1"/>
  <c r="U233" i="19"/>
  <c r="U234" i="19"/>
  <c r="U235" i="19"/>
  <c r="U236" i="19"/>
  <c r="V236" i="19" s="1"/>
  <c r="U237" i="19"/>
  <c r="U238" i="19"/>
  <c r="U239" i="19"/>
  <c r="U240" i="19"/>
  <c r="U241" i="19"/>
  <c r="V241" i="19" s="1"/>
  <c r="U242" i="19"/>
  <c r="V242" i="19" s="1"/>
  <c r="U243" i="19"/>
  <c r="V243" i="19" s="1"/>
  <c r="U244" i="19"/>
  <c r="V244" i="19" s="1"/>
  <c r="U245" i="19"/>
  <c r="V245" i="19" s="1"/>
  <c r="U246" i="19"/>
  <c r="U247" i="19"/>
  <c r="V247" i="19" s="1"/>
  <c r="U248" i="19"/>
  <c r="U249" i="19"/>
  <c r="U250" i="19"/>
  <c r="V250" i="19" s="1"/>
  <c r="U251" i="19"/>
  <c r="U252" i="19"/>
  <c r="V252" i="19" s="1"/>
  <c r="U253" i="19"/>
  <c r="V253" i="19" s="1"/>
  <c r="U254" i="19"/>
  <c r="V254" i="19" s="1"/>
  <c r="U255" i="19"/>
  <c r="V255" i="19" s="1"/>
  <c r="U256" i="19"/>
  <c r="U257" i="19"/>
  <c r="V257" i="19" s="1"/>
  <c r="U258" i="19"/>
  <c r="U259" i="19"/>
  <c r="U260" i="19"/>
  <c r="V260" i="19" s="1"/>
  <c r="U261" i="19"/>
  <c r="U262" i="19"/>
  <c r="U263" i="19"/>
  <c r="U264" i="19"/>
  <c r="U265" i="19"/>
  <c r="V265" i="19" s="1"/>
  <c r="U266" i="19"/>
  <c r="U267" i="19"/>
  <c r="V267" i="19" s="1"/>
  <c r="U268" i="19"/>
  <c r="U269" i="19"/>
  <c r="V269" i="19" s="1"/>
  <c r="U270" i="19"/>
  <c r="U271" i="19"/>
  <c r="U272" i="19"/>
  <c r="V272" i="19" s="1"/>
  <c r="U273" i="19"/>
  <c r="U274" i="19"/>
  <c r="U275" i="19"/>
  <c r="U276" i="19"/>
  <c r="U277" i="19"/>
  <c r="U278" i="19"/>
  <c r="V278" i="19" s="1"/>
  <c r="U279" i="19"/>
  <c r="U280" i="19"/>
  <c r="U281" i="19"/>
  <c r="V281" i="19" s="1"/>
  <c r="U282" i="19"/>
  <c r="V282" i="19" s="1"/>
  <c r="U283" i="19"/>
  <c r="V283" i="19" s="1"/>
  <c r="U284" i="19"/>
  <c r="V284" i="19" s="1"/>
  <c r="U285" i="19"/>
  <c r="V285" i="19" s="1"/>
  <c r="U286" i="19"/>
  <c r="V286" i="19" s="1"/>
  <c r="U287" i="19"/>
  <c r="U288" i="19"/>
  <c r="V288" i="19" s="1"/>
  <c r="U289" i="19"/>
  <c r="U290" i="19"/>
  <c r="V290" i="19" s="1"/>
  <c r="U291" i="19"/>
  <c r="V291" i="19" s="1"/>
  <c r="U292" i="19"/>
  <c r="V292" i="19" s="1"/>
  <c r="U293" i="19"/>
  <c r="V293" i="19" s="1"/>
  <c r="U294" i="19"/>
  <c r="U295" i="19"/>
  <c r="U296" i="19"/>
  <c r="U297" i="19"/>
  <c r="U298" i="19"/>
  <c r="U299" i="19"/>
  <c r="V299" i="19" s="1"/>
  <c r="U300" i="19"/>
  <c r="U301" i="19"/>
  <c r="U302" i="19"/>
  <c r="V302" i="19" s="1"/>
  <c r="U303" i="19"/>
  <c r="U304" i="19"/>
  <c r="U305" i="19"/>
  <c r="U306" i="19"/>
  <c r="U307" i="19"/>
  <c r="U308" i="19"/>
  <c r="U309" i="19"/>
  <c r="U310" i="19"/>
  <c r="V310" i="19" s="1"/>
  <c r="U311" i="19"/>
  <c r="V311" i="19" s="1"/>
  <c r="U312" i="19"/>
  <c r="V312" i="19" s="1"/>
  <c r="U313" i="19"/>
  <c r="V313" i="19" s="1"/>
  <c r="U314" i="19"/>
  <c r="V314" i="19" s="1"/>
  <c r="U315" i="19"/>
  <c r="U316" i="19"/>
  <c r="U317" i="19"/>
  <c r="V317" i="19" s="1"/>
  <c r="U318" i="19"/>
  <c r="U319" i="19"/>
  <c r="U320" i="19"/>
  <c r="U321" i="19"/>
  <c r="U322" i="19"/>
  <c r="U323" i="19"/>
  <c r="U324" i="19"/>
  <c r="V324" i="19" s="1"/>
  <c r="U325" i="19"/>
  <c r="U326" i="19"/>
  <c r="U327" i="19"/>
  <c r="V327" i="19" s="1"/>
  <c r="U328" i="19"/>
  <c r="U329" i="19"/>
  <c r="U330" i="19"/>
  <c r="U331" i="19"/>
  <c r="U332" i="19"/>
  <c r="U333" i="19"/>
  <c r="U334" i="19"/>
  <c r="U335" i="19"/>
  <c r="V335" i="19" s="1"/>
  <c r="U336" i="19"/>
  <c r="U337" i="19"/>
  <c r="U338" i="19"/>
  <c r="U339" i="19"/>
  <c r="U340" i="19"/>
  <c r="U341" i="19"/>
  <c r="U342" i="19"/>
  <c r="V342" i="19" s="1"/>
  <c r="U343" i="19"/>
  <c r="U344" i="19"/>
  <c r="U345" i="19"/>
  <c r="U346" i="19"/>
  <c r="U347" i="19"/>
  <c r="V347" i="19" s="1"/>
  <c r="U348" i="19"/>
  <c r="V348" i="19" s="1"/>
  <c r="U349" i="19"/>
  <c r="V349" i="19" s="1"/>
  <c r="U350" i="19"/>
  <c r="V350" i="19" s="1"/>
  <c r="U351" i="19"/>
  <c r="V351" i="19" s="1"/>
  <c r="U352" i="19"/>
  <c r="U353" i="19"/>
  <c r="U354" i="19"/>
  <c r="U355" i="19"/>
  <c r="U356" i="19"/>
  <c r="V356" i="19" s="1"/>
  <c r="U357" i="19"/>
  <c r="V357" i="19" s="1"/>
  <c r="U358" i="19"/>
  <c r="V358" i="19" s="1"/>
  <c r="U359" i="19"/>
  <c r="V359" i="19" s="1"/>
  <c r="U360" i="19"/>
  <c r="V360" i="19" s="1"/>
  <c r="U361" i="19"/>
  <c r="U362" i="19"/>
  <c r="U363" i="19"/>
  <c r="V363" i="19" s="1"/>
  <c r="U364" i="19"/>
  <c r="V364" i="19" s="1"/>
  <c r="U365" i="19"/>
  <c r="V365" i="19" s="1"/>
  <c r="U366" i="19"/>
  <c r="V366" i="19" s="1"/>
  <c r="U367" i="19"/>
  <c r="V367" i="19" s="1"/>
  <c r="U368" i="19"/>
  <c r="V368" i="19" s="1"/>
  <c r="U369" i="19"/>
  <c r="V369" i="19" s="1"/>
  <c r="R8" i="19"/>
  <c r="S8" i="19" s="1"/>
  <c r="R9" i="19"/>
  <c r="R10" i="19"/>
  <c r="R11" i="19"/>
  <c r="S11" i="19" s="1"/>
  <c r="R12" i="19"/>
  <c r="R13" i="19"/>
  <c r="R14" i="19"/>
  <c r="R15" i="19"/>
  <c r="S15" i="19" s="1"/>
  <c r="R16" i="19"/>
  <c r="S16" i="19" s="1"/>
  <c r="R17" i="19"/>
  <c r="S17" i="19" s="1"/>
  <c r="R18" i="19"/>
  <c r="S18" i="19" s="1"/>
  <c r="R19" i="19"/>
  <c r="S19" i="19" s="1"/>
  <c r="R20" i="19"/>
  <c r="S20" i="19" s="1"/>
  <c r="R21" i="19"/>
  <c r="S21" i="19" s="1"/>
  <c r="R22" i="19"/>
  <c r="S22" i="19" s="1"/>
  <c r="R23" i="19"/>
  <c r="S23" i="19" s="1"/>
  <c r="R24" i="19"/>
  <c r="R25" i="19"/>
  <c r="S25" i="19" s="1"/>
  <c r="R26" i="19"/>
  <c r="R27" i="19"/>
  <c r="S27" i="19" s="1"/>
  <c r="R28" i="19"/>
  <c r="R29" i="19"/>
  <c r="S29" i="19" s="1"/>
  <c r="R30" i="19"/>
  <c r="R31" i="19"/>
  <c r="R32" i="19"/>
  <c r="R33" i="19"/>
  <c r="S33" i="19" s="1"/>
  <c r="R34" i="19"/>
  <c r="R35" i="19"/>
  <c r="R36" i="19"/>
  <c r="R37" i="19"/>
  <c r="R38" i="19"/>
  <c r="R39" i="19"/>
  <c r="R40" i="19"/>
  <c r="R41" i="19"/>
  <c r="S41" i="19" s="1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S56" i="19" s="1"/>
  <c r="R57" i="19"/>
  <c r="S57" i="19" s="1"/>
  <c r="R58" i="19"/>
  <c r="S58" i="19" s="1"/>
  <c r="R59" i="19"/>
  <c r="S59" i="19" s="1"/>
  <c r="R60" i="19"/>
  <c r="S60" i="19" s="1"/>
  <c r="R61" i="19"/>
  <c r="R62" i="19"/>
  <c r="R63" i="19"/>
  <c r="S63" i="19" s="1"/>
  <c r="R64" i="19"/>
  <c r="R65" i="19"/>
  <c r="R66" i="19"/>
  <c r="S66" i="19" s="1"/>
  <c r="R67" i="19"/>
  <c r="R68" i="19"/>
  <c r="R69" i="19"/>
  <c r="S69" i="19" s="1"/>
  <c r="R70" i="19"/>
  <c r="R71" i="19"/>
  <c r="R72" i="19"/>
  <c r="R73" i="19"/>
  <c r="R74" i="19"/>
  <c r="R75" i="19"/>
  <c r="R76" i="19"/>
  <c r="R77" i="19"/>
  <c r="R78" i="19"/>
  <c r="R79" i="19"/>
  <c r="R80" i="19"/>
  <c r="R81" i="19"/>
  <c r="S81" i="19" s="1"/>
  <c r="R82" i="19"/>
  <c r="R83" i="19"/>
  <c r="S83" i="19" s="1"/>
  <c r="R84" i="19"/>
  <c r="R85" i="19"/>
  <c r="R86" i="19"/>
  <c r="S86" i="19" s="1"/>
  <c r="R87" i="19"/>
  <c r="R88" i="19"/>
  <c r="R89" i="19"/>
  <c r="R90" i="19"/>
  <c r="R91" i="19"/>
  <c r="R92" i="19"/>
  <c r="S92" i="19" s="1"/>
  <c r="R93" i="19"/>
  <c r="R94" i="19"/>
  <c r="R95" i="19"/>
  <c r="R96" i="19"/>
  <c r="S96" i="19" s="1"/>
  <c r="R97" i="19"/>
  <c r="R98" i="19"/>
  <c r="R99" i="19"/>
  <c r="R100" i="19"/>
  <c r="R101" i="19"/>
  <c r="R102" i="19"/>
  <c r="S102" i="19" s="1"/>
  <c r="R103" i="19"/>
  <c r="R104" i="19"/>
  <c r="R105" i="19"/>
  <c r="S105" i="19" s="1"/>
  <c r="R106" i="19"/>
  <c r="R107" i="19"/>
  <c r="R108" i="19"/>
  <c r="S108" i="19" s="1"/>
  <c r="R109" i="19"/>
  <c r="R110" i="19"/>
  <c r="R111" i="19"/>
  <c r="S111" i="19" s="1"/>
  <c r="R112" i="19"/>
  <c r="R113" i="19"/>
  <c r="S113" i="19" s="1"/>
  <c r="R114" i="19"/>
  <c r="S114" i="19" s="1"/>
  <c r="R115" i="19"/>
  <c r="S115" i="19" s="1"/>
  <c r="R116" i="19"/>
  <c r="S116" i="19" s="1"/>
  <c r="R117" i="19"/>
  <c r="S117" i="19" s="1"/>
  <c r="R118" i="19"/>
  <c r="R119" i="19"/>
  <c r="R120" i="19"/>
  <c r="R121" i="19"/>
  <c r="S121" i="19" s="1"/>
  <c r="R122" i="19"/>
  <c r="R123" i="19"/>
  <c r="S123" i="19" s="1"/>
  <c r="R124" i="19"/>
  <c r="S124" i="19" s="1"/>
  <c r="R125" i="19"/>
  <c r="S125" i="19" s="1"/>
  <c r="R126" i="19"/>
  <c r="S126" i="19" s="1"/>
  <c r="R127" i="19"/>
  <c r="S127" i="19" s="1"/>
  <c r="R128" i="19"/>
  <c r="R129" i="19"/>
  <c r="S129" i="19" s="1"/>
  <c r="R130" i="19"/>
  <c r="S130" i="19" s="1"/>
  <c r="R131" i="19"/>
  <c r="S131" i="19" s="1"/>
  <c r="R132" i="19"/>
  <c r="S132" i="19" s="1"/>
  <c r="R133" i="19"/>
  <c r="S133" i="19" s="1"/>
  <c r="R134" i="19"/>
  <c r="R135" i="19"/>
  <c r="S135" i="19" s="1"/>
  <c r="R136" i="19"/>
  <c r="S136" i="19" s="1"/>
  <c r="R137" i="19"/>
  <c r="S137" i="19" s="1"/>
  <c r="R138" i="19"/>
  <c r="S138" i="19" s="1"/>
  <c r="R139" i="19"/>
  <c r="S139" i="19" s="1"/>
  <c r="R140" i="19"/>
  <c r="S140" i="19" s="1"/>
  <c r="R141" i="19"/>
  <c r="S141" i="19" s="1"/>
  <c r="R142" i="19"/>
  <c r="S142" i="19" s="1"/>
  <c r="R143" i="19"/>
  <c r="S143" i="19" s="1"/>
  <c r="R144" i="19"/>
  <c r="R145" i="19"/>
  <c r="R146" i="19"/>
  <c r="S146" i="19" s="1"/>
  <c r="R147" i="19"/>
  <c r="S147" i="19" s="1"/>
  <c r="R148" i="19"/>
  <c r="S148" i="19" s="1"/>
  <c r="R149" i="19"/>
  <c r="S149" i="19" s="1"/>
  <c r="R150" i="19"/>
  <c r="R151" i="19"/>
  <c r="R152" i="19"/>
  <c r="S152" i="19" s="1"/>
  <c r="R153" i="19"/>
  <c r="R154" i="19"/>
  <c r="R155" i="19"/>
  <c r="R156" i="19"/>
  <c r="S156" i="19" s="1"/>
  <c r="R157" i="19"/>
  <c r="R158" i="19"/>
  <c r="R159" i="19"/>
  <c r="R160" i="19"/>
  <c r="S160" i="19" s="1"/>
  <c r="R161" i="19"/>
  <c r="R162" i="19"/>
  <c r="R163" i="19"/>
  <c r="S163" i="19" s="1"/>
  <c r="R164" i="19"/>
  <c r="R165" i="19"/>
  <c r="S165" i="19" s="1"/>
  <c r="R166" i="19"/>
  <c r="R167" i="19"/>
  <c r="R168" i="19"/>
  <c r="S168" i="19" s="1"/>
  <c r="R169" i="19"/>
  <c r="R170" i="19"/>
  <c r="S170" i="19" s="1"/>
  <c r="R171" i="19"/>
  <c r="R172" i="19"/>
  <c r="R173" i="19"/>
  <c r="R174" i="19"/>
  <c r="R175" i="19"/>
  <c r="R176" i="19"/>
  <c r="S176" i="19" s="1"/>
  <c r="R177" i="19"/>
  <c r="R178" i="19"/>
  <c r="R179" i="19"/>
  <c r="S179" i="19" s="1"/>
  <c r="R180" i="19"/>
  <c r="R181" i="19"/>
  <c r="S181" i="19" s="1"/>
  <c r="R182" i="19"/>
  <c r="R183" i="19"/>
  <c r="S183" i="19" s="1"/>
  <c r="R184" i="19"/>
  <c r="R185" i="19"/>
  <c r="S185" i="19" s="1"/>
  <c r="R186" i="19"/>
  <c r="R187" i="19"/>
  <c r="S187" i="19" s="1"/>
  <c r="R188" i="19"/>
  <c r="R189" i="19"/>
  <c r="S189" i="19" s="1"/>
  <c r="R190" i="19"/>
  <c r="R191" i="19"/>
  <c r="S191" i="19" s="1"/>
  <c r="R192" i="19"/>
  <c r="R193" i="19"/>
  <c r="R194" i="19"/>
  <c r="R195" i="19"/>
  <c r="S195" i="19" s="1"/>
  <c r="R196" i="19"/>
  <c r="R197" i="19"/>
  <c r="R198" i="19"/>
  <c r="R199" i="19"/>
  <c r="R200" i="19"/>
  <c r="R201" i="19"/>
  <c r="R202" i="19"/>
  <c r="R203" i="19"/>
  <c r="R204" i="19"/>
  <c r="R205" i="19"/>
  <c r="R206" i="19"/>
  <c r="S206" i="19" s="1"/>
  <c r="R207" i="19"/>
  <c r="S207" i="19" s="1"/>
  <c r="R208" i="19"/>
  <c r="S208" i="19" s="1"/>
  <c r="R209" i="19"/>
  <c r="S209" i="19" s="1"/>
  <c r="R210" i="19"/>
  <c r="S210" i="19" s="1"/>
  <c r="R211" i="19"/>
  <c r="R212" i="19"/>
  <c r="S212" i="19" s="1"/>
  <c r="R213" i="19"/>
  <c r="R214" i="19"/>
  <c r="R215" i="19"/>
  <c r="S215" i="19" s="1"/>
  <c r="R216" i="19"/>
  <c r="R217" i="19"/>
  <c r="R218" i="19"/>
  <c r="S218" i="19" s="1"/>
  <c r="R219" i="19"/>
  <c r="R220" i="19"/>
  <c r="R221" i="19"/>
  <c r="R222" i="19"/>
  <c r="R223" i="19"/>
  <c r="R224" i="19"/>
  <c r="R225" i="19"/>
  <c r="S225" i="19" s="1"/>
  <c r="R226" i="19"/>
  <c r="R227" i="19"/>
  <c r="R228" i="19"/>
  <c r="R229" i="19"/>
  <c r="S229" i="19" s="1"/>
  <c r="R230" i="19"/>
  <c r="R231" i="19"/>
  <c r="R232" i="19"/>
  <c r="S232" i="19" s="1"/>
  <c r="R233" i="19"/>
  <c r="R234" i="19"/>
  <c r="R235" i="19"/>
  <c r="R236" i="19"/>
  <c r="S236" i="19" s="1"/>
  <c r="R237" i="19"/>
  <c r="R238" i="19"/>
  <c r="R239" i="19"/>
  <c r="R240" i="19"/>
  <c r="R241" i="19"/>
  <c r="S241" i="19" s="1"/>
  <c r="R242" i="19"/>
  <c r="S242" i="19" s="1"/>
  <c r="R243" i="19"/>
  <c r="S243" i="19" s="1"/>
  <c r="R244" i="19"/>
  <c r="S244" i="19" s="1"/>
  <c r="R245" i="19"/>
  <c r="S245" i="19" s="1"/>
  <c r="R246" i="19"/>
  <c r="R247" i="19"/>
  <c r="S247" i="19" s="1"/>
  <c r="R248" i="19"/>
  <c r="R249" i="19"/>
  <c r="R250" i="19"/>
  <c r="S250" i="19" s="1"/>
  <c r="R251" i="19"/>
  <c r="R252" i="19"/>
  <c r="S252" i="19" s="1"/>
  <c r="R253" i="19"/>
  <c r="S253" i="19" s="1"/>
  <c r="R254" i="19"/>
  <c r="S254" i="19" s="1"/>
  <c r="R255" i="19"/>
  <c r="S255" i="19" s="1"/>
  <c r="R256" i="19"/>
  <c r="R257" i="19"/>
  <c r="S257" i="19" s="1"/>
  <c r="R258" i="19"/>
  <c r="R259" i="19"/>
  <c r="R260" i="19"/>
  <c r="S260" i="19" s="1"/>
  <c r="R261" i="19"/>
  <c r="R262" i="19"/>
  <c r="R263" i="19"/>
  <c r="R264" i="19"/>
  <c r="R265" i="19"/>
  <c r="S265" i="19" s="1"/>
  <c r="R266" i="19"/>
  <c r="R267" i="19"/>
  <c r="S267" i="19" s="1"/>
  <c r="R268" i="19"/>
  <c r="R269" i="19"/>
  <c r="S269" i="19" s="1"/>
  <c r="R270" i="19"/>
  <c r="R271" i="19"/>
  <c r="R272" i="19"/>
  <c r="S272" i="19" s="1"/>
  <c r="R273" i="19"/>
  <c r="R274" i="19"/>
  <c r="R275" i="19"/>
  <c r="R276" i="19"/>
  <c r="R277" i="19"/>
  <c r="R278" i="19"/>
  <c r="S278" i="19" s="1"/>
  <c r="R279" i="19"/>
  <c r="R280" i="19"/>
  <c r="R281" i="19"/>
  <c r="S281" i="19" s="1"/>
  <c r="R282" i="19"/>
  <c r="R283" i="19"/>
  <c r="S283" i="19" s="1"/>
  <c r="R284" i="19"/>
  <c r="S284" i="19" s="1"/>
  <c r="R285" i="19"/>
  <c r="S285" i="19" s="1"/>
  <c r="R286" i="19"/>
  <c r="S286" i="19" s="1"/>
  <c r="R287" i="19"/>
  <c r="R288" i="19"/>
  <c r="S288" i="19" s="1"/>
  <c r="R289" i="19"/>
  <c r="R290" i="19"/>
  <c r="S290" i="19" s="1"/>
  <c r="R291" i="19"/>
  <c r="S291" i="19" s="1"/>
  <c r="R292" i="19"/>
  <c r="S292" i="19" s="1"/>
  <c r="R293" i="19"/>
  <c r="S293" i="19" s="1"/>
  <c r="R294" i="19"/>
  <c r="R295" i="19"/>
  <c r="R296" i="19"/>
  <c r="R297" i="19"/>
  <c r="R298" i="19"/>
  <c r="R299" i="19"/>
  <c r="S299" i="19" s="1"/>
  <c r="R300" i="19"/>
  <c r="R301" i="19"/>
  <c r="R302" i="19"/>
  <c r="S302" i="19" s="1"/>
  <c r="R303" i="19"/>
  <c r="R304" i="19"/>
  <c r="R305" i="19"/>
  <c r="R306" i="19"/>
  <c r="R307" i="19"/>
  <c r="R308" i="19"/>
  <c r="R309" i="19"/>
  <c r="R310" i="19"/>
  <c r="S310" i="19" s="1"/>
  <c r="R311" i="19"/>
  <c r="S311" i="19" s="1"/>
  <c r="R312" i="19"/>
  <c r="S312" i="19" s="1"/>
  <c r="R313" i="19"/>
  <c r="S313" i="19" s="1"/>
  <c r="R314" i="19"/>
  <c r="S314" i="19" s="1"/>
  <c r="R315" i="19"/>
  <c r="R316" i="19"/>
  <c r="R317" i="19"/>
  <c r="S317" i="19" s="1"/>
  <c r="R318" i="19"/>
  <c r="R319" i="19"/>
  <c r="R320" i="19"/>
  <c r="R321" i="19"/>
  <c r="R322" i="19"/>
  <c r="R323" i="19"/>
  <c r="R324" i="19"/>
  <c r="S324" i="19" s="1"/>
  <c r="R325" i="19"/>
  <c r="R326" i="19"/>
  <c r="R327" i="19"/>
  <c r="S327" i="19" s="1"/>
  <c r="R328" i="19"/>
  <c r="R329" i="19"/>
  <c r="R330" i="19"/>
  <c r="R331" i="19"/>
  <c r="R332" i="19"/>
  <c r="R333" i="19"/>
  <c r="R334" i="19"/>
  <c r="R335" i="19"/>
  <c r="S335" i="19" s="1"/>
  <c r="R336" i="19"/>
  <c r="R337" i="19"/>
  <c r="R338" i="19"/>
  <c r="R339" i="19"/>
  <c r="R340" i="19"/>
  <c r="R341" i="19"/>
  <c r="S341" i="19" s="1"/>
  <c r="R342" i="19"/>
  <c r="S342" i="19" s="1"/>
  <c r="R343" i="19"/>
  <c r="R344" i="19"/>
  <c r="R345" i="19"/>
  <c r="R346" i="19"/>
  <c r="R347" i="19"/>
  <c r="S347" i="19" s="1"/>
  <c r="R348" i="19"/>
  <c r="S348" i="19" s="1"/>
  <c r="R349" i="19"/>
  <c r="S349" i="19" s="1"/>
  <c r="R350" i="19"/>
  <c r="S350" i="19" s="1"/>
  <c r="R351" i="19"/>
  <c r="S351" i="19" s="1"/>
  <c r="R352" i="19"/>
  <c r="R353" i="19"/>
  <c r="R354" i="19"/>
  <c r="R355" i="19"/>
  <c r="R356" i="19"/>
  <c r="S356" i="19" s="1"/>
  <c r="R357" i="19"/>
  <c r="S357" i="19" s="1"/>
  <c r="R358" i="19"/>
  <c r="S358" i="19" s="1"/>
  <c r="R359" i="19"/>
  <c r="S359" i="19" s="1"/>
  <c r="R360" i="19"/>
  <c r="S360" i="19" s="1"/>
  <c r="R361" i="19"/>
  <c r="R362" i="19"/>
  <c r="R363" i="19"/>
  <c r="S363" i="19" s="1"/>
  <c r="R364" i="19"/>
  <c r="S364" i="19" s="1"/>
  <c r="R365" i="19"/>
  <c r="S365" i="19" s="1"/>
  <c r="R366" i="19"/>
  <c r="S366" i="19" s="1"/>
  <c r="R367" i="19"/>
  <c r="S367" i="19" s="1"/>
  <c r="R368" i="19"/>
  <c r="R369" i="19"/>
  <c r="O8" i="19"/>
  <c r="P8" i="19" s="1"/>
  <c r="O9" i="19"/>
  <c r="O10" i="19"/>
  <c r="O11" i="19"/>
  <c r="P11" i="19" s="1"/>
  <c r="O12" i="19"/>
  <c r="O13" i="19"/>
  <c r="O14" i="19"/>
  <c r="O15" i="19"/>
  <c r="P15" i="19" s="1"/>
  <c r="O16" i="19"/>
  <c r="P16" i="19" s="1"/>
  <c r="O17" i="19"/>
  <c r="P17" i="19" s="1"/>
  <c r="O18" i="19"/>
  <c r="P18" i="19" s="1"/>
  <c r="O19" i="19"/>
  <c r="P19" i="19" s="1"/>
  <c r="O20" i="19"/>
  <c r="P20" i="19" s="1"/>
  <c r="O21" i="19"/>
  <c r="P21" i="19" s="1"/>
  <c r="O22" i="19"/>
  <c r="P22" i="19" s="1"/>
  <c r="O23" i="19"/>
  <c r="P23" i="19" s="1"/>
  <c r="O24" i="19"/>
  <c r="O25" i="19"/>
  <c r="P25" i="19" s="1"/>
  <c r="O26" i="19"/>
  <c r="O27" i="19"/>
  <c r="P27" i="19" s="1"/>
  <c r="O28" i="19"/>
  <c r="O29" i="19"/>
  <c r="P29" i="19" s="1"/>
  <c r="O30" i="19"/>
  <c r="O31" i="19"/>
  <c r="O32" i="19"/>
  <c r="O33" i="19"/>
  <c r="P33" i="19" s="1"/>
  <c r="O34" i="19"/>
  <c r="O35" i="19"/>
  <c r="O36" i="19"/>
  <c r="O37" i="19"/>
  <c r="O38" i="19"/>
  <c r="O39" i="19"/>
  <c r="O40" i="19"/>
  <c r="O41" i="19"/>
  <c r="P41" i="19" s="1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P56" i="19" s="1"/>
  <c r="O57" i="19"/>
  <c r="P57" i="19" s="1"/>
  <c r="O58" i="19"/>
  <c r="P58" i="19" s="1"/>
  <c r="O59" i="19"/>
  <c r="P59" i="19" s="1"/>
  <c r="O60" i="19"/>
  <c r="P60" i="19" s="1"/>
  <c r="O61" i="19"/>
  <c r="O62" i="19"/>
  <c r="O63" i="19"/>
  <c r="P63" i="19" s="1"/>
  <c r="O64" i="19"/>
  <c r="O65" i="19"/>
  <c r="O66" i="19"/>
  <c r="P66" i="19" s="1"/>
  <c r="O67" i="19"/>
  <c r="O68" i="19"/>
  <c r="O69" i="19"/>
  <c r="P69" i="19" s="1"/>
  <c r="O70" i="19"/>
  <c r="O71" i="19"/>
  <c r="O72" i="19"/>
  <c r="O73" i="19"/>
  <c r="O74" i="19"/>
  <c r="O75" i="19"/>
  <c r="O76" i="19"/>
  <c r="O77" i="19"/>
  <c r="O78" i="19"/>
  <c r="O79" i="19"/>
  <c r="O80" i="19"/>
  <c r="O81" i="19"/>
  <c r="P81" i="19" s="1"/>
  <c r="O82" i="19"/>
  <c r="O83" i="19"/>
  <c r="P83" i="19" s="1"/>
  <c r="O84" i="19"/>
  <c r="O85" i="19"/>
  <c r="O86" i="19"/>
  <c r="P86" i="19" s="1"/>
  <c r="O87" i="19"/>
  <c r="O88" i="19"/>
  <c r="O89" i="19"/>
  <c r="O90" i="19"/>
  <c r="O91" i="19"/>
  <c r="O92" i="19"/>
  <c r="P92" i="19" s="1"/>
  <c r="O93" i="19"/>
  <c r="O94" i="19"/>
  <c r="O95" i="19"/>
  <c r="O96" i="19"/>
  <c r="P96" i="19" s="1"/>
  <c r="O97" i="19"/>
  <c r="O98" i="19"/>
  <c r="O99" i="19"/>
  <c r="O100" i="19"/>
  <c r="O101" i="19"/>
  <c r="O102" i="19"/>
  <c r="P102" i="19" s="1"/>
  <c r="O103" i="19"/>
  <c r="O104" i="19"/>
  <c r="O105" i="19"/>
  <c r="P105" i="19" s="1"/>
  <c r="O106" i="19"/>
  <c r="O107" i="19"/>
  <c r="O108" i="19"/>
  <c r="P108" i="19" s="1"/>
  <c r="O109" i="19"/>
  <c r="O110" i="19"/>
  <c r="O111" i="19"/>
  <c r="P111" i="19" s="1"/>
  <c r="O112" i="19"/>
  <c r="O113" i="19"/>
  <c r="P113" i="19" s="1"/>
  <c r="O114" i="19"/>
  <c r="P114" i="19" s="1"/>
  <c r="O115" i="19"/>
  <c r="P115" i="19" s="1"/>
  <c r="O116" i="19"/>
  <c r="P116" i="19" s="1"/>
  <c r="O117" i="19"/>
  <c r="P117" i="19" s="1"/>
  <c r="O118" i="19"/>
  <c r="O119" i="19"/>
  <c r="O120" i="19"/>
  <c r="O121" i="19"/>
  <c r="P121" i="19" s="1"/>
  <c r="O122" i="19"/>
  <c r="O123" i="19"/>
  <c r="P123" i="19" s="1"/>
  <c r="O124" i="19"/>
  <c r="P124" i="19" s="1"/>
  <c r="O125" i="19"/>
  <c r="P125" i="19" s="1"/>
  <c r="O126" i="19"/>
  <c r="P126" i="19" s="1"/>
  <c r="O127" i="19"/>
  <c r="P127" i="19" s="1"/>
  <c r="O128" i="19"/>
  <c r="O129" i="19"/>
  <c r="P129" i="19" s="1"/>
  <c r="O130" i="19"/>
  <c r="P130" i="19" s="1"/>
  <c r="O131" i="19"/>
  <c r="P131" i="19" s="1"/>
  <c r="O132" i="19"/>
  <c r="P132" i="19" s="1"/>
  <c r="O133" i="19"/>
  <c r="P133" i="19" s="1"/>
  <c r="O134" i="19"/>
  <c r="O135" i="19"/>
  <c r="P135" i="19" s="1"/>
  <c r="O136" i="19"/>
  <c r="P136" i="19" s="1"/>
  <c r="O137" i="19"/>
  <c r="P137" i="19" s="1"/>
  <c r="O138" i="19"/>
  <c r="P138" i="19" s="1"/>
  <c r="O139" i="19"/>
  <c r="P139" i="19" s="1"/>
  <c r="O140" i="19"/>
  <c r="P140" i="19" s="1"/>
  <c r="O141" i="19"/>
  <c r="P141" i="19" s="1"/>
  <c r="O142" i="19"/>
  <c r="P142" i="19" s="1"/>
  <c r="O143" i="19"/>
  <c r="P143" i="19" s="1"/>
  <c r="O144" i="19"/>
  <c r="O145" i="19"/>
  <c r="O146" i="19"/>
  <c r="P146" i="19" s="1"/>
  <c r="O147" i="19"/>
  <c r="P147" i="19" s="1"/>
  <c r="O148" i="19"/>
  <c r="P148" i="19" s="1"/>
  <c r="O149" i="19"/>
  <c r="P149" i="19" s="1"/>
  <c r="O150" i="19"/>
  <c r="O151" i="19"/>
  <c r="O152" i="19"/>
  <c r="P152" i="19" s="1"/>
  <c r="O153" i="19"/>
  <c r="O154" i="19"/>
  <c r="O155" i="19"/>
  <c r="O156" i="19"/>
  <c r="P156" i="19" s="1"/>
  <c r="O157" i="19"/>
  <c r="O158" i="19"/>
  <c r="O159" i="19"/>
  <c r="O160" i="19"/>
  <c r="P160" i="19" s="1"/>
  <c r="O161" i="19"/>
  <c r="O162" i="19"/>
  <c r="O163" i="19"/>
  <c r="P163" i="19" s="1"/>
  <c r="O164" i="19"/>
  <c r="O165" i="19"/>
  <c r="P165" i="19" s="1"/>
  <c r="O166" i="19"/>
  <c r="O167" i="19"/>
  <c r="O168" i="19"/>
  <c r="P168" i="19" s="1"/>
  <c r="O169" i="19"/>
  <c r="O170" i="19"/>
  <c r="P170" i="19" s="1"/>
  <c r="O171" i="19"/>
  <c r="O172" i="19"/>
  <c r="O173" i="19"/>
  <c r="O174" i="19"/>
  <c r="O175" i="19"/>
  <c r="O176" i="19"/>
  <c r="P176" i="19" s="1"/>
  <c r="O177" i="19"/>
  <c r="O178" i="19"/>
  <c r="O179" i="19"/>
  <c r="P179" i="19" s="1"/>
  <c r="O180" i="19"/>
  <c r="O181" i="19"/>
  <c r="P181" i="19" s="1"/>
  <c r="O182" i="19"/>
  <c r="O183" i="19"/>
  <c r="P183" i="19" s="1"/>
  <c r="O184" i="19"/>
  <c r="O185" i="19"/>
  <c r="P185" i="19" s="1"/>
  <c r="O186" i="19"/>
  <c r="O187" i="19"/>
  <c r="P187" i="19" s="1"/>
  <c r="O188" i="19"/>
  <c r="O189" i="19"/>
  <c r="P189" i="19" s="1"/>
  <c r="O190" i="19"/>
  <c r="O191" i="19"/>
  <c r="P191" i="19" s="1"/>
  <c r="O192" i="19"/>
  <c r="O193" i="19"/>
  <c r="O194" i="19"/>
  <c r="O195" i="19"/>
  <c r="P195" i="19" s="1"/>
  <c r="O196" i="19"/>
  <c r="O197" i="19"/>
  <c r="O198" i="19"/>
  <c r="O199" i="19"/>
  <c r="O200" i="19"/>
  <c r="O201" i="19"/>
  <c r="O202" i="19"/>
  <c r="O203" i="19"/>
  <c r="O204" i="19"/>
  <c r="O205" i="19"/>
  <c r="O206" i="19"/>
  <c r="P206" i="19" s="1"/>
  <c r="O207" i="19"/>
  <c r="P207" i="19" s="1"/>
  <c r="O208" i="19"/>
  <c r="P208" i="19" s="1"/>
  <c r="O209" i="19"/>
  <c r="P209" i="19" s="1"/>
  <c r="O210" i="19"/>
  <c r="P210" i="19" s="1"/>
  <c r="O211" i="19"/>
  <c r="O212" i="19"/>
  <c r="P212" i="19" s="1"/>
  <c r="O213" i="19"/>
  <c r="O214" i="19"/>
  <c r="O215" i="19"/>
  <c r="P215" i="19" s="1"/>
  <c r="O216" i="19"/>
  <c r="O217" i="19"/>
  <c r="O218" i="19"/>
  <c r="P218" i="19" s="1"/>
  <c r="O219" i="19"/>
  <c r="O220" i="19"/>
  <c r="O221" i="19"/>
  <c r="O222" i="19"/>
  <c r="O223" i="19"/>
  <c r="O224" i="19"/>
  <c r="O225" i="19"/>
  <c r="P225" i="19" s="1"/>
  <c r="O226" i="19"/>
  <c r="O227" i="19"/>
  <c r="O228" i="19"/>
  <c r="O229" i="19"/>
  <c r="P229" i="19" s="1"/>
  <c r="O230" i="19"/>
  <c r="O231" i="19"/>
  <c r="O232" i="19"/>
  <c r="P232" i="19" s="1"/>
  <c r="O233" i="19"/>
  <c r="O234" i="19"/>
  <c r="O235" i="19"/>
  <c r="O236" i="19"/>
  <c r="P236" i="19" s="1"/>
  <c r="O237" i="19"/>
  <c r="O238" i="19"/>
  <c r="O239" i="19"/>
  <c r="O240" i="19"/>
  <c r="O241" i="19"/>
  <c r="P241" i="19" s="1"/>
  <c r="O242" i="19"/>
  <c r="P242" i="19" s="1"/>
  <c r="O243" i="19"/>
  <c r="P243" i="19" s="1"/>
  <c r="O244" i="19"/>
  <c r="P244" i="19" s="1"/>
  <c r="O245" i="19"/>
  <c r="P245" i="19" s="1"/>
  <c r="O246" i="19"/>
  <c r="O247" i="19"/>
  <c r="P247" i="19" s="1"/>
  <c r="O248" i="19"/>
  <c r="O249" i="19"/>
  <c r="O250" i="19"/>
  <c r="P250" i="19" s="1"/>
  <c r="O251" i="19"/>
  <c r="O252" i="19"/>
  <c r="P252" i="19" s="1"/>
  <c r="O253" i="19"/>
  <c r="P253" i="19" s="1"/>
  <c r="O254" i="19"/>
  <c r="P254" i="19" s="1"/>
  <c r="O255" i="19"/>
  <c r="P255" i="19" s="1"/>
  <c r="O256" i="19"/>
  <c r="O257" i="19"/>
  <c r="P257" i="19" s="1"/>
  <c r="O258" i="19"/>
  <c r="O259" i="19"/>
  <c r="O260" i="19"/>
  <c r="P260" i="19" s="1"/>
  <c r="O261" i="19"/>
  <c r="O262" i="19"/>
  <c r="O263" i="19"/>
  <c r="O264" i="19"/>
  <c r="O265" i="19"/>
  <c r="P265" i="19" s="1"/>
  <c r="O266" i="19"/>
  <c r="O267" i="19"/>
  <c r="P267" i="19" s="1"/>
  <c r="O268" i="19"/>
  <c r="O269" i="19"/>
  <c r="P269" i="19" s="1"/>
  <c r="O270" i="19"/>
  <c r="O271" i="19"/>
  <c r="O272" i="19"/>
  <c r="P272" i="19" s="1"/>
  <c r="O273" i="19"/>
  <c r="O274" i="19"/>
  <c r="O275" i="19"/>
  <c r="O276" i="19"/>
  <c r="O277" i="19"/>
  <c r="O278" i="19"/>
  <c r="P278" i="19" s="1"/>
  <c r="O279" i="19"/>
  <c r="O280" i="19"/>
  <c r="O281" i="19"/>
  <c r="P281" i="19" s="1"/>
  <c r="O282" i="19"/>
  <c r="P282" i="19" s="1"/>
  <c r="O283" i="19"/>
  <c r="P283" i="19" s="1"/>
  <c r="O284" i="19"/>
  <c r="P284" i="19" s="1"/>
  <c r="O285" i="19"/>
  <c r="P285" i="19" s="1"/>
  <c r="O286" i="19"/>
  <c r="P286" i="19" s="1"/>
  <c r="O287" i="19"/>
  <c r="O288" i="19"/>
  <c r="P288" i="19" s="1"/>
  <c r="O289" i="19"/>
  <c r="O290" i="19"/>
  <c r="P290" i="19" s="1"/>
  <c r="O291" i="19"/>
  <c r="P291" i="19" s="1"/>
  <c r="O292" i="19"/>
  <c r="P292" i="19" s="1"/>
  <c r="O293" i="19"/>
  <c r="P293" i="19" s="1"/>
  <c r="O294" i="19"/>
  <c r="O295" i="19"/>
  <c r="O296" i="19"/>
  <c r="O297" i="19"/>
  <c r="O298" i="19"/>
  <c r="O299" i="19"/>
  <c r="P299" i="19" s="1"/>
  <c r="O300" i="19"/>
  <c r="O301" i="19"/>
  <c r="O302" i="19"/>
  <c r="P302" i="19" s="1"/>
  <c r="O303" i="19"/>
  <c r="O304" i="19"/>
  <c r="O305" i="19"/>
  <c r="O306" i="19"/>
  <c r="O307" i="19"/>
  <c r="O308" i="19"/>
  <c r="O309" i="19"/>
  <c r="O310" i="19"/>
  <c r="P310" i="19" s="1"/>
  <c r="O311" i="19"/>
  <c r="P311" i="19" s="1"/>
  <c r="O312" i="19"/>
  <c r="P312" i="19" s="1"/>
  <c r="O313" i="19"/>
  <c r="P313" i="19" s="1"/>
  <c r="O314" i="19"/>
  <c r="P314" i="19" s="1"/>
  <c r="O315" i="19"/>
  <c r="O316" i="19"/>
  <c r="O317" i="19"/>
  <c r="P317" i="19" s="1"/>
  <c r="O318" i="19"/>
  <c r="O319" i="19"/>
  <c r="O320" i="19"/>
  <c r="O321" i="19"/>
  <c r="O322" i="19"/>
  <c r="O323" i="19"/>
  <c r="O324" i="19"/>
  <c r="P324" i="19" s="1"/>
  <c r="O325" i="19"/>
  <c r="O326" i="19"/>
  <c r="O327" i="19"/>
  <c r="P327" i="19" s="1"/>
  <c r="O328" i="19"/>
  <c r="O329" i="19"/>
  <c r="O330" i="19"/>
  <c r="O331" i="19"/>
  <c r="O332" i="19"/>
  <c r="O333" i="19"/>
  <c r="O334" i="19"/>
  <c r="O335" i="19"/>
  <c r="P335" i="19" s="1"/>
  <c r="O336" i="19"/>
  <c r="O337" i="19"/>
  <c r="O338" i="19"/>
  <c r="O339" i="19"/>
  <c r="O340" i="19"/>
  <c r="O341" i="19"/>
  <c r="O342" i="19"/>
  <c r="P342" i="19" s="1"/>
  <c r="O343" i="19"/>
  <c r="O344" i="19"/>
  <c r="O345" i="19"/>
  <c r="O346" i="19"/>
  <c r="O347" i="19"/>
  <c r="P347" i="19" s="1"/>
  <c r="O348" i="19"/>
  <c r="P348" i="19" s="1"/>
  <c r="O349" i="19"/>
  <c r="P349" i="19" s="1"/>
  <c r="O350" i="19"/>
  <c r="P350" i="19" s="1"/>
  <c r="O351" i="19"/>
  <c r="P351" i="19" s="1"/>
  <c r="O352" i="19"/>
  <c r="O353" i="19"/>
  <c r="O354" i="19"/>
  <c r="O355" i="19"/>
  <c r="O356" i="19"/>
  <c r="P356" i="19" s="1"/>
  <c r="O357" i="19"/>
  <c r="P357" i="19" s="1"/>
  <c r="O358" i="19"/>
  <c r="P358" i="19" s="1"/>
  <c r="O359" i="19"/>
  <c r="P359" i="19" s="1"/>
  <c r="O360" i="19"/>
  <c r="P360" i="19" s="1"/>
  <c r="O361" i="19"/>
  <c r="O362" i="19"/>
  <c r="O363" i="19"/>
  <c r="P363" i="19" s="1"/>
  <c r="O364" i="19"/>
  <c r="P364" i="19" s="1"/>
  <c r="O365" i="19"/>
  <c r="P365" i="19" s="1"/>
  <c r="O366" i="19"/>
  <c r="P366" i="19" s="1"/>
  <c r="O367" i="19"/>
  <c r="P367" i="19" s="1"/>
  <c r="O368" i="19"/>
  <c r="P368" i="19" s="1"/>
  <c r="O369" i="19"/>
  <c r="P369" i="19" s="1"/>
  <c r="L8" i="19"/>
  <c r="M8" i="19" s="1"/>
  <c r="L9" i="19"/>
  <c r="L10" i="19"/>
  <c r="L11" i="19"/>
  <c r="M11" i="19" s="1"/>
  <c r="L12" i="19"/>
  <c r="L13" i="19"/>
  <c r="L14" i="19"/>
  <c r="L15" i="19"/>
  <c r="M15" i="19" s="1"/>
  <c r="L16" i="19"/>
  <c r="M16" i="19" s="1"/>
  <c r="L17" i="19"/>
  <c r="M17" i="19" s="1"/>
  <c r="L18" i="19"/>
  <c r="M18" i="19" s="1"/>
  <c r="L19" i="19"/>
  <c r="M19" i="19" s="1"/>
  <c r="L20" i="19"/>
  <c r="M20" i="19" s="1"/>
  <c r="L21" i="19"/>
  <c r="M21" i="19" s="1"/>
  <c r="L22" i="19"/>
  <c r="M22" i="19" s="1"/>
  <c r="L23" i="19"/>
  <c r="M23" i="19" s="1"/>
  <c r="L24" i="19"/>
  <c r="L25" i="19"/>
  <c r="M25" i="19" s="1"/>
  <c r="L26" i="19"/>
  <c r="L27" i="19"/>
  <c r="M27" i="19" s="1"/>
  <c r="L28" i="19"/>
  <c r="L29" i="19"/>
  <c r="M29" i="19" s="1"/>
  <c r="L30" i="19"/>
  <c r="L31" i="19"/>
  <c r="L32" i="19"/>
  <c r="L33" i="19"/>
  <c r="M33" i="19" s="1"/>
  <c r="L34" i="19"/>
  <c r="L35" i="19"/>
  <c r="L36" i="19"/>
  <c r="L37" i="19"/>
  <c r="L38" i="19"/>
  <c r="L39" i="19"/>
  <c r="L40" i="19"/>
  <c r="L41" i="19"/>
  <c r="M41" i="19" s="1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M56" i="19" s="1"/>
  <c r="L57" i="19"/>
  <c r="M57" i="19" s="1"/>
  <c r="L58" i="19"/>
  <c r="M58" i="19" s="1"/>
  <c r="L59" i="19"/>
  <c r="M59" i="19" s="1"/>
  <c r="L60" i="19"/>
  <c r="M60" i="19" s="1"/>
  <c r="L61" i="19"/>
  <c r="L62" i="19"/>
  <c r="L63" i="19"/>
  <c r="M63" i="19" s="1"/>
  <c r="L64" i="19"/>
  <c r="M64" i="19" s="1"/>
  <c r="L65" i="19"/>
  <c r="M65" i="19" s="1"/>
  <c r="L66" i="19"/>
  <c r="M66" i="19" s="1"/>
  <c r="L67" i="19"/>
  <c r="L68" i="19"/>
  <c r="L69" i="19"/>
  <c r="M69" i="19" s="1"/>
  <c r="L70" i="19"/>
  <c r="L71" i="19"/>
  <c r="L72" i="19"/>
  <c r="L73" i="19"/>
  <c r="L74" i="19"/>
  <c r="L75" i="19"/>
  <c r="L76" i="19"/>
  <c r="L77" i="19"/>
  <c r="L78" i="19"/>
  <c r="L79" i="19"/>
  <c r="L80" i="19"/>
  <c r="L81" i="19"/>
  <c r="M81" i="19" s="1"/>
  <c r="L82" i="19"/>
  <c r="L83" i="19"/>
  <c r="M83" i="19" s="1"/>
  <c r="L84" i="19"/>
  <c r="L85" i="19"/>
  <c r="L86" i="19"/>
  <c r="M86" i="19" s="1"/>
  <c r="L87" i="19"/>
  <c r="L88" i="19"/>
  <c r="L89" i="19"/>
  <c r="L90" i="19"/>
  <c r="L91" i="19"/>
  <c r="L92" i="19"/>
  <c r="M92" i="19" s="1"/>
  <c r="L93" i="19"/>
  <c r="L94" i="19"/>
  <c r="L95" i="19"/>
  <c r="L96" i="19"/>
  <c r="M96" i="19" s="1"/>
  <c r="L97" i="19"/>
  <c r="L98" i="19"/>
  <c r="L99" i="19"/>
  <c r="L100" i="19"/>
  <c r="L101" i="19"/>
  <c r="L102" i="19"/>
  <c r="M102" i="19" s="1"/>
  <c r="L103" i="19"/>
  <c r="L104" i="19"/>
  <c r="L105" i="19"/>
  <c r="M105" i="19" s="1"/>
  <c r="L106" i="19"/>
  <c r="L107" i="19"/>
  <c r="L108" i="19"/>
  <c r="M108" i="19" s="1"/>
  <c r="L109" i="19"/>
  <c r="L110" i="19"/>
  <c r="L111" i="19"/>
  <c r="M111" i="19" s="1"/>
  <c r="L112" i="19"/>
  <c r="L113" i="19"/>
  <c r="M113" i="19" s="1"/>
  <c r="L114" i="19"/>
  <c r="M114" i="19" s="1"/>
  <c r="L115" i="19"/>
  <c r="M115" i="19" s="1"/>
  <c r="L116" i="19"/>
  <c r="M116" i="19" s="1"/>
  <c r="L117" i="19"/>
  <c r="M117" i="19" s="1"/>
  <c r="L118" i="19"/>
  <c r="L119" i="19"/>
  <c r="L120" i="19"/>
  <c r="L121" i="19"/>
  <c r="M121" i="19" s="1"/>
  <c r="L122" i="19"/>
  <c r="L123" i="19"/>
  <c r="M123" i="19" s="1"/>
  <c r="L124" i="19"/>
  <c r="M124" i="19" s="1"/>
  <c r="L125" i="19"/>
  <c r="M125" i="19" s="1"/>
  <c r="L126" i="19"/>
  <c r="M126" i="19" s="1"/>
  <c r="L127" i="19"/>
  <c r="M127" i="19" s="1"/>
  <c r="L128" i="19"/>
  <c r="L129" i="19"/>
  <c r="M129" i="19" s="1"/>
  <c r="L130" i="19"/>
  <c r="M130" i="19" s="1"/>
  <c r="L131" i="19"/>
  <c r="M131" i="19" s="1"/>
  <c r="L132" i="19"/>
  <c r="M132" i="19" s="1"/>
  <c r="L133" i="19"/>
  <c r="M133" i="19" s="1"/>
  <c r="L134" i="19"/>
  <c r="M134" i="19" s="1"/>
  <c r="L135" i="19"/>
  <c r="M135" i="19" s="1"/>
  <c r="L136" i="19"/>
  <c r="M136" i="19" s="1"/>
  <c r="L137" i="19"/>
  <c r="M137" i="19" s="1"/>
  <c r="L138" i="19"/>
  <c r="M138" i="19" s="1"/>
  <c r="L139" i="19"/>
  <c r="M139" i="19" s="1"/>
  <c r="L140" i="19"/>
  <c r="M140" i="19" s="1"/>
  <c r="L141" i="19"/>
  <c r="M141" i="19" s="1"/>
  <c r="L142" i="19"/>
  <c r="M142" i="19" s="1"/>
  <c r="L143" i="19"/>
  <c r="M143" i="19" s="1"/>
  <c r="L144" i="19"/>
  <c r="L145" i="19"/>
  <c r="L146" i="19"/>
  <c r="M146" i="19" s="1"/>
  <c r="L147" i="19"/>
  <c r="M147" i="19" s="1"/>
  <c r="L148" i="19"/>
  <c r="M148" i="19" s="1"/>
  <c r="L149" i="19"/>
  <c r="M149" i="19" s="1"/>
  <c r="L150" i="19"/>
  <c r="L151" i="19"/>
  <c r="L152" i="19"/>
  <c r="M152" i="19" s="1"/>
  <c r="L153" i="19"/>
  <c r="L154" i="19"/>
  <c r="L155" i="19"/>
  <c r="L156" i="19"/>
  <c r="M156" i="19" s="1"/>
  <c r="L157" i="19"/>
  <c r="L158" i="19"/>
  <c r="L159" i="19"/>
  <c r="L160" i="19"/>
  <c r="M160" i="19" s="1"/>
  <c r="L161" i="19"/>
  <c r="L162" i="19"/>
  <c r="L163" i="19"/>
  <c r="M163" i="19" s="1"/>
  <c r="L164" i="19"/>
  <c r="L165" i="19"/>
  <c r="M165" i="19" s="1"/>
  <c r="L166" i="19"/>
  <c r="L167" i="19"/>
  <c r="L168" i="19"/>
  <c r="M168" i="19" s="1"/>
  <c r="L169" i="19"/>
  <c r="L170" i="19"/>
  <c r="M170" i="19" s="1"/>
  <c r="L171" i="19"/>
  <c r="L172" i="19"/>
  <c r="L173" i="19"/>
  <c r="L174" i="19"/>
  <c r="L175" i="19"/>
  <c r="L176" i="19"/>
  <c r="M176" i="19" s="1"/>
  <c r="L177" i="19"/>
  <c r="L178" i="19"/>
  <c r="L179" i="19"/>
  <c r="M179" i="19" s="1"/>
  <c r="L180" i="19"/>
  <c r="L181" i="19"/>
  <c r="M181" i="19" s="1"/>
  <c r="L182" i="19"/>
  <c r="L183" i="19"/>
  <c r="M183" i="19" s="1"/>
  <c r="L184" i="19"/>
  <c r="L185" i="19"/>
  <c r="M185" i="19" s="1"/>
  <c r="L186" i="19"/>
  <c r="L187" i="19"/>
  <c r="M187" i="19" s="1"/>
  <c r="L188" i="19"/>
  <c r="L189" i="19"/>
  <c r="M189" i="19" s="1"/>
  <c r="L190" i="19"/>
  <c r="L191" i="19"/>
  <c r="M191" i="19" s="1"/>
  <c r="L192" i="19"/>
  <c r="L193" i="19"/>
  <c r="L194" i="19"/>
  <c r="L195" i="19"/>
  <c r="M195" i="19" s="1"/>
  <c r="L196" i="19"/>
  <c r="L197" i="19"/>
  <c r="L198" i="19"/>
  <c r="L199" i="19"/>
  <c r="L200" i="19"/>
  <c r="L201" i="19"/>
  <c r="L202" i="19"/>
  <c r="L203" i="19"/>
  <c r="L204" i="19"/>
  <c r="L205" i="19"/>
  <c r="L206" i="19"/>
  <c r="M206" i="19" s="1"/>
  <c r="L207" i="19"/>
  <c r="M207" i="19" s="1"/>
  <c r="L208" i="19"/>
  <c r="M208" i="19" s="1"/>
  <c r="L209" i="19"/>
  <c r="M209" i="19" s="1"/>
  <c r="L210" i="19"/>
  <c r="M210" i="19" s="1"/>
  <c r="L211" i="19"/>
  <c r="L212" i="19"/>
  <c r="M212" i="19" s="1"/>
  <c r="L213" i="19"/>
  <c r="L214" i="19"/>
  <c r="L215" i="19"/>
  <c r="M215" i="19" s="1"/>
  <c r="L216" i="19"/>
  <c r="L217" i="19"/>
  <c r="L218" i="19"/>
  <c r="M218" i="19" s="1"/>
  <c r="L219" i="19"/>
  <c r="L220" i="19"/>
  <c r="L221" i="19"/>
  <c r="L222" i="19"/>
  <c r="L223" i="19"/>
  <c r="L224" i="19"/>
  <c r="L225" i="19"/>
  <c r="M225" i="19" s="1"/>
  <c r="L226" i="19"/>
  <c r="L227" i="19"/>
  <c r="L228" i="19"/>
  <c r="L229" i="19"/>
  <c r="M229" i="19" s="1"/>
  <c r="L230" i="19"/>
  <c r="L231" i="19"/>
  <c r="L232" i="19"/>
  <c r="M232" i="19" s="1"/>
  <c r="L233" i="19"/>
  <c r="L234" i="19"/>
  <c r="L235" i="19"/>
  <c r="L236" i="19"/>
  <c r="M236" i="19" s="1"/>
  <c r="L237" i="19"/>
  <c r="L238" i="19"/>
  <c r="L239" i="19"/>
  <c r="L240" i="19"/>
  <c r="L241" i="19"/>
  <c r="M241" i="19" s="1"/>
  <c r="L242" i="19"/>
  <c r="M242" i="19" s="1"/>
  <c r="L243" i="19"/>
  <c r="M243" i="19" s="1"/>
  <c r="L244" i="19"/>
  <c r="M244" i="19" s="1"/>
  <c r="L245" i="19"/>
  <c r="M245" i="19" s="1"/>
  <c r="L246" i="19"/>
  <c r="L247" i="19"/>
  <c r="M247" i="19" s="1"/>
  <c r="L248" i="19"/>
  <c r="L249" i="19"/>
  <c r="L250" i="19"/>
  <c r="M250" i="19" s="1"/>
  <c r="L251" i="19"/>
  <c r="L252" i="19"/>
  <c r="M252" i="19" s="1"/>
  <c r="L253" i="19"/>
  <c r="M253" i="19" s="1"/>
  <c r="L254" i="19"/>
  <c r="M254" i="19" s="1"/>
  <c r="L255" i="19"/>
  <c r="M255" i="19" s="1"/>
  <c r="L256" i="19"/>
  <c r="L257" i="19"/>
  <c r="M257" i="19" s="1"/>
  <c r="L258" i="19"/>
  <c r="M258" i="19" s="1"/>
  <c r="L259" i="19"/>
  <c r="M259" i="19" s="1"/>
  <c r="L260" i="19"/>
  <c r="M260" i="19" s="1"/>
  <c r="L261" i="19"/>
  <c r="M261" i="19" s="1"/>
  <c r="L262" i="19"/>
  <c r="L263" i="19"/>
  <c r="L264" i="19"/>
  <c r="L265" i="19"/>
  <c r="M265" i="19" s="1"/>
  <c r="L266" i="19"/>
  <c r="L267" i="19"/>
  <c r="M267" i="19" s="1"/>
  <c r="L268" i="19"/>
  <c r="L269" i="19"/>
  <c r="M269" i="19" s="1"/>
  <c r="L270" i="19"/>
  <c r="L271" i="19"/>
  <c r="L272" i="19"/>
  <c r="M272" i="19" s="1"/>
  <c r="L273" i="19"/>
  <c r="L274" i="19"/>
  <c r="L275" i="19"/>
  <c r="L276" i="19"/>
  <c r="L277" i="19"/>
  <c r="L278" i="19"/>
  <c r="M278" i="19" s="1"/>
  <c r="L279" i="19"/>
  <c r="L280" i="19"/>
  <c r="L281" i="19"/>
  <c r="M281" i="19" s="1"/>
  <c r="L282" i="19"/>
  <c r="M282" i="19" s="1"/>
  <c r="L283" i="19"/>
  <c r="M283" i="19" s="1"/>
  <c r="L284" i="19"/>
  <c r="M284" i="19" s="1"/>
  <c r="L285" i="19"/>
  <c r="M285" i="19" s="1"/>
  <c r="L286" i="19"/>
  <c r="M286" i="19" s="1"/>
  <c r="L287" i="19"/>
  <c r="L288" i="19"/>
  <c r="M288" i="19" s="1"/>
  <c r="L289" i="19"/>
  <c r="L290" i="19"/>
  <c r="M290" i="19" s="1"/>
  <c r="L291" i="19"/>
  <c r="M291" i="19" s="1"/>
  <c r="L292" i="19"/>
  <c r="M292" i="19" s="1"/>
  <c r="L293" i="19"/>
  <c r="M293" i="19" s="1"/>
  <c r="L294" i="19"/>
  <c r="L295" i="19"/>
  <c r="L296" i="19"/>
  <c r="L297" i="19"/>
  <c r="L298" i="19"/>
  <c r="L299" i="19"/>
  <c r="M299" i="19" s="1"/>
  <c r="L300" i="19"/>
  <c r="L301" i="19"/>
  <c r="L302" i="19"/>
  <c r="M302" i="19" s="1"/>
  <c r="L303" i="19"/>
  <c r="L304" i="19"/>
  <c r="L305" i="19"/>
  <c r="L306" i="19"/>
  <c r="L307" i="19"/>
  <c r="L308" i="19"/>
  <c r="L309" i="19"/>
  <c r="L310" i="19"/>
  <c r="M310" i="19" s="1"/>
  <c r="L311" i="19"/>
  <c r="M311" i="19" s="1"/>
  <c r="L312" i="19"/>
  <c r="M312" i="19" s="1"/>
  <c r="L313" i="19"/>
  <c r="M313" i="19" s="1"/>
  <c r="L314" i="19"/>
  <c r="M314" i="19" s="1"/>
  <c r="L315" i="19"/>
  <c r="L316" i="19"/>
  <c r="L317" i="19"/>
  <c r="M317" i="19" s="1"/>
  <c r="L318" i="19"/>
  <c r="L319" i="19"/>
  <c r="L320" i="19"/>
  <c r="L321" i="19"/>
  <c r="L322" i="19"/>
  <c r="L323" i="19"/>
  <c r="L324" i="19"/>
  <c r="M324" i="19" s="1"/>
  <c r="L325" i="19"/>
  <c r="L326" i="19"/>
  <c r="L327" i="19"/>
  <c r="M327" i="19" s="1"/>
  <c r="L328" i="19"/>
  <c r="L329" i="19"/>
  <c r="L330" i="19"/>
  <c r="L331" i="19"/>
  <c r="L332" i="19"/>
  <c r="L333" i="19"/>
  <c r="L334" i="19"/>
  <c r="L335" i="19"/>
  <c r="M335" i="19" s="1"/>
  <c r="L336" i="19"/>
  <c r="L337" i="19"/>
  <c r="L338" i="19"/>
  <c r="L339" i="19"/>
  <c r="L340" i="19"/>
  <c r="L341" i="19"/>
  <c r="M341" i="19" s="1"/>
  <c r="L342" i="19"/>
  <c r="M342" i="19" s="1"/>
  <c r="L343" i="19"/>
  <c r="L344" i="19"/>
  <c r="L345" i="19"/>
  <c r="L346" i="19"/>
  <c r="L347" i="19"/>
  <c r="M347" i="19" s="1"/>
  <c r="L348" i="19"/>
  <c r="M348" i="19" s="1"/>
  <c r="L349" i="19"/>
  <c r="M349" i="19" s="1"/>
  <c r="L350" i="19"/>
  <c r="M350" i="19" s="1"/>
  <c r="L351" i="19"/>
  <c r="M351" i="19" s="1"/>
  <c r="L352" i="19"/>
  <c r="L353" i="19"/>
  <c r="L354" i="19"/>
  <c r="M354" i="19" s="1"/>
  <c r="L355" i="19"/>
  <c r="L356" i="19"/>
  <c r="M356" i="19" s="1"/>
  <c r="L357" i="19"/>
  <c r="M357" i="19" s="1"/>
  <c r="L358" i="19"/>
  <c r="M358" i="19" s="1"/>
  <c r="L359" i="19"/>
  <c r="M359" i="19" s="1"/>
  <c r="L360" i="19"/>
  <c r="M360" i="19" s="1"/>
  <c r="L361" i="19"/>
  <c r="L362" i="19"/>
  <c r="L363" i="19"/>
  <c r="M363" i="19" s="1"/>
  <c r="L364" i="19"/>
  <c r="M364" i="19" s="1"/>
  <c r="L365" i="19"/>
  <c r="M365" i="19" s="1"/>
  <c r="L366" i="19"/>
  <c r="M366" i="19" s="1"/>
  <c r="L367" i="19"/>
  <c r="M367" i="19" s="1"/>
  <c r="L368" i="19"/>
  <c r="M368" i="19" s="1"/>
  <c r="L369" i="19"/>
  <c r="M369" i="19" s="1"/>
  <c r="I8" i="19"/>
  <c r="J8" i="19" s="1"/>
  <c r="I9" i="19"/>
  <c r="I10" i="19"/>
  <c r="I11" i="19"/>
  <c r="J11" i="19" s="1"/>
  <c r="I12" i="19"/>
  <c r="I13" i="19"/>
  <c r="I14" i="19"/>
  <c r="I15" i="19"/>
  <c r="J15" i="19" s="1"/>
  <c r="I16" i="19"/>
  <c r="J16" i="19" s="1"/>
  <c r="I17" i="19"/>
  <c r="J17" i="19" s="1"/>
  <c r="I18" i="19"/>
  <c r="J18" i="19" s="1"/>
  <c r="I19" i="19"/>
  <c r="J19" i="19" s="1"/>
  <c r="I20" i="19"/>
  <c r="J20" i="19" s="1"/>
  <c r="I21" i="19"/>
  <c r="J21" i="19" s="1"/>
  <c r="I22" i="19"/>
  <c r="J22" i="19" s="1"/>
  <c r="I23" i="19"/>
  <c r="J23" i="19" s="1"/>
  <c r="I24" i="19"/>
  <c r="I25" i="19"/>
  <c r="J25" i="19" s="1"/>
  <c r="I26" i="19"/>
  <c r="I27" i="19"/>
  <c r="J27" i="19" s="1"/>
  <c r="I28" i="19"/>
  <c r="J28" i="19" s="1"/>
  <c r="I29" i="19"/>
  <c r="J29" i="19" s="1"/>
  <c r="I30" i="19"/>
  <c r="I31" i="19"/>
  <c r="I32" i="19"/>
  <c r="I33" i="19"/>
  <c r="J33" i="19" s="1"/>
  <c r="I34" i="19"/>
  <c r="I35" i="19"/>
  <c r="I36" i="19"/>
  <c r="I37" i="19"/>
  <c r="I38" i="19"/>
  <c r="I39" i="19"/>
  <c r="I40" i="19"/>
  <c r="I41" i="19"/>
  <c r="J41" i="19" s="1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J56" i="19" s="1"/>
  <c r="I57" i="19"/>
  <c r="J57" i="19" s="1"/>
  <c r="I58" i="19"/>
  <c r="J58" i="19" s="1"/>
  <c r="I59" i="19"/>
  <c r="J59" i="19" s="1"/>
  <c r="I60" i="19"/>
  <c r="J60" i="19" s="1"/>
  <c r="I61" i="19"/>
  <c r="I62" i="19"/>
  <c r="I63" i="19"/>
  <c r="J63" i="19" s="1"/>
  <c r="I64" i="19"/>
  <c r="I65" i="19"/>
  <c r="I66" i="19"/>
  <c r="J66" i="19" s="1"/>
  <c r="I67" i="19"/>
  <c r="I68" i="19"/>
  <c r="I69" i="19"/>
  <c r="J69" i="19" s="1"/>
  <c r="I70" i="19"/>
  <c r="I71" i="19"/>
  <c r="I72" i="19"/>
  <c r="I73" i="19"/>
  <c r="I74" i="19"/>
  <c r="I75" i="19"/>
  <c r="I76" i="19"/>
  <c r="I77" i="19"/>
  <c r="I78" i="19"/>
  <c r="I79" i="19"/>
  <c r="I80" i="19"/>
  <c r="I81" i="19"/>
  <c r="J81" i="19" s="1"/>
  <c r="I82" i="19"/>
  <c r="I83" i="19"/>
  <c r="J83" i="19" s="1"/>
  <c r="I84" i="19"/>
  <c r="I85" i="19"/>
  <c r="I86" i="19"/>
  <c r="J86" i="19" s="1"/>
  <c r="I87" i="19"/>
  <c r="I88" i="19"/>
  <c r="I89" i="19"/>
  <c r="I90" i="19"/>
  <c r="I91" i="19"/>
  <c r="I92" i="19"/>
  <c r="J92" i="19" s="1"/>
  <c r="I93" i="19"/>
  <c r="I94" i="19"/>
  <c r="I95" i="19"/>
  <c r="I96" i="19"/>
  <c r="J96" i="19" s="1"/>
  <c r="I97" i="19"/>
  <c r="I98" i="19"/>
  <c r="I99" i="19"/>
  <c r="I100" i="19"/>
  <c r="I101" i="19"/>
  <c r="I102" i="19"/>
  <c r="J102" i="19" s="1"/>
  <c r="I103" i="19"/>
  <c r="I104" i="19"/>
  <c r="I105" i="19"/>
  <c r="J105" i="19" s="1"/>
  <c r="I106" i="19"/>
  <c r="I107" i="19"/>
  <c r="I108" i="19"/>
  <c r="J108" i="19" s="1"/>
  <c r="I109" i="19"/>
  <c r="I110" i="19"/>
  <c r="I111" i="19"/>
  <c r="J111" i="19" s="1"/>
  <c r="I112" i="19"/>
  <c r="I113" i="19"/>
  <c r="J113" i="19" s="1"/>
  <c r="I114" i="19"/>
  <c r="J114" i="19" s="1"/>
  <c r="I115" i="19"/>
  <c r="J115" i="19" s="1"/>
  <c r="I116" i="19"/>
  <c r="J116" i="19" s="1"/>
  <c r="I117" i="19"/>
  <c r="J117" i="19" s="1"/>
  <c r="I118" i="19"/>
  <c r="I119" i="19"/>
  <c r="I120" i="19"/>
  <c r="I121" i="19"/>
  <c r="J121" i="19" s="1"/>
  <c r="I122" i="19"/>
  <c r="I123" i="19"/>
  <c r="J123" i="19" s="1"/>
  <c r="I124" i="19"/>
  <c r="J124" i="19" s="1"/>
  <c r="I125" i="19"/>
  <c r="J125" i="19" s="1"/>
  <c r="I126" i="19"/>
  <c r="J126" i="19" s="1"/>
  <c r="I127" i="19"/>
  <c r="J127" i="19" s="1"/>
  <c r="I128" i="19"/>
  <c r="I129" i="19"/>
  <c r="J129" i="19" s="1"/>
  <c r="I130" i="19"/>
  <c r="J130" i="19" s="1"/>
  <c r="I131" i="19"/>
  <c r="J131" i="19" s="1"/>
  <c r="I132" i="19"/>
  <c r="J132" i="19" s="1"/>
  <c r="I133" i="19"/>
  <c r="J133" i="19" s="1"/>
  <c r="I134" i="19"/>
  <c r="I135" i="19"/>
  <c r="J135" i="19" s="1"/>
  <c r="I136" i="19"/>
  <c r="J136" i="19" s="1"/>
  <c r="I137" i="19"/>
  <c r="J137" i="19" s="1"/>
  <c r="I138" i="19"/>
  <c r="J138" i="19" s="1"/>
  <c r="I139" i="19"/>
  <c r="J139" i="19" s="1"/>
  <c r="I140" i="19"/>
  <c r="J140" i="19" s="1"/>
  <c r="I141" i="19"/>
  <c r="J141" i="19" s="1"/>
  <c r="I142" i="19"/>
  <c r="J142" i="19" s="1"/>
  <c r="I143" i="19"/>
  <c r="J143" i="19" s="1"/>
  <c r="I144" i="19"/>
  <c r="I145" i="19"/>
  <c r="I146" i="19"/>
  <c r="J146" i="19" s="1"/>
  <c r="I147" i="19"/>
  <c r="J147" i="19" s="1"/>
  <c r="I148" i="19"/>
  <c r="J148" i="19" s="1"/>
  <c r="I149" i="19"/>
  <c r="J149" i="19" s="1"/>
  <c r="I150" i="19"/>
  <c r="I151" i="19"/>
  <c r="I152" i="19"/>
  <c r="J152" i="19" s="1"/>
  <c r="I153" i="19"/>
  <c r="I154" i="19"/>
  <c r="I155" i="19"/>
  <c r="I156" i="19"/>
  <c r="J156" i="19" s="1"/>
  <c r="I157" i="19"/>
  <c r="I158" i="19"/>
  <c r="I159" i="19"/>
  <c r="I160" i="19"/>
  <c r="J160" i="19" s="1"/>
  <c r="I161" i="19"/>
  <c r="I162" i="19"/>
  <c r="I163" i="19"/>
  <c r="J163" i="19" s="1"/>
  <c r="I164" i="19"/>
  <c r="I165" i="19"/>
  <c r="J165" i="19" s="1"/>
  <c r="I166" i="19"/>
  <c r="I167" i="19"/>
  <c r="I168" i="19"/>
  <c r="J168" i="19" s="1"/>
  <c r="I169" i="19"/>
  <c r="I170" i="19"/>
  <c r="J170" i="19" s="1"/>
  <c r="I171" i="19"/>
  <c r="I172" i="19"/>
  <c r="I173" i="19"/>
  <c r="I174" i="19"/>
  <c r="I175" i="19"/>
  <c r="I176" i="19"/>
  <c r="J176" i="19" s="1"/>
  <c r="I177" i="19"/>
  <c r="I178" i="19"/>
  <c r="I179" i="19"/>
  <c r="J179" i="19" s="1"/>
  <c r="I180" i="19"/>
  <c r="I181" i="19"/>
  <c r="J181" i="19" s="1"/>
  <c r="I182" i="19"/>
  <c r="I183" i="19"/>
  <c r="J183" i="19" s="1"/>
  <c r="I184" i="19"/>
  <c r="I185" i="19"/>
  <c r="J185" i="19" s="1"/>
  <c r="I186" i="19"/>
  <c r="I187" i="19"/>
  <c r="J187" i="19" s="1"/>
  <c r="I188" i="19"/>
  <c r="I189" i="19"/>
  <c r="J189" i="19" s="1"/>
  <c r="I190" i="19"/>
  <c r="I191" i="19"/>
  <c r="J191" i="19" s="1"/>
  <c r="I192" i="19"/>
  <c r="I193" i="19"/>
  <c r="I194" i="19"/>
  <c r="I195" i="19"/>
  <c r="J195" i="19" s="1"/>
  <c r="I196" i="19"/>
  <c r="I197" i="19"/>
  <c r="I198" i="19"/>
  <c r="I199" i="19"/>
  <c r="I200" i="19"/>
  <c r="I201" i="19"/>
  <c r="I202" i="19"/>
  <c r="I203" i="19"/>
  <c r="I204" i="19"/>
  <c r="I205" i="19"/>
  <c r="I206" i="19"/>
  <c r="J206" i="19" s="1"/>
  <c r="I207" i="19"/>
  <c r="J207" i="19" s="1"/>
  <c r="I208" i="19"/>
  <c r="J208" i="19" s="1"/>
  <c r="I209" i="19"/>
  <c r="J209" i="19" s="1"/>
  <c r="I210" i="19"/>
  <c r="J210" i="19" s="1"/>
  <c r="I211" i="19"/>
  <c r="I212" i="19"/>
  <c r="J212" i="19" s="1"/>
  <c r="I213" i="19"/>
  <c r="I214" i="19"/>
  <c r="I215" i="19"/>
  <c r="J215" i="19" s="1"/>
  <c r="I216" i="19"/>
  <c r="I217" i="19"/>
  <c r="I218" i="19"/>
  <c r="J218" i="19" s="1"/>
  <c r="I219" i="19"/>
  <c r="I220" i="19"/>
  <c r="I221" i="19"/>
  <c r="I222" i="19"/>
  <c r="I223" i="19"/>
  <c r="I224" i="19"/>
  <c r="I225" i="19"/>
  <c r="J225" i="19" s="1"/>
  <c r="I226" i="19"/>
  <c r="I227" i="19"/>
  <c r="I228" i="19"/>
  <c r="I229" i="19"/>
  <c r="J229" i="19" s="1"/>
  <c r="I230" i="19"/>
  <c r="I231" i="19"/>
  <c r="I232" i="19"/>
  <c r="J232" i="19" s="1"/>
  <c r="I233" i="19"/>
  <c r="I234" i="19"/>
  <c r="I235" i="19"/>
  <c r="I236" i="19"/>
  <c r="J236" i="19" s="1"/>
  <c r="I237" i="19"/>
  <c r="I238" i="19"/>
  <c r="I239" i="19"/>
  <c r="I240" i="19"/>
  <c r="I241" i="19"/>
  <c r="J241" i="19" s="1"/>
  <c r="I242" i="19"/>
  <c r="J242" i="19" s="1"/>
  <c r="I243" i="19"/>
  <c r="J243" i="19" s="1"/>
  <c r="I244" i="19"/>
  <c r="J244" i="19" s="1"/>
  <c r="I245" i="19"/>
  <c r="J245" i="19" s="1"/>
  <c r="I246" i="19"/>
  <c r="I247" i="19"/>
  <c r="J247" i="19" s="1"/>
  <c r="I248" i="19"/>
  <c r="I249" i="19"/>
  <c r="I250" i="19"/>
  <c r="J250" i="19" s="1"/>
  <c r="I251" i="19"/>
  <c r="I252" i="19"/>
  <c r="J252" i="19" s="1"/>
  <c r="I253" i="19"/>
  <c r="J253" i="19" s="1"/>
  <c r="I254" i="19"/>
  <c r="J254" i="19" s="1"/>
  <c r="I255" i="19"/>
  <c r="J255" i="19" s="1"/>
  <c r="I256" i="19"/>
  <c r="I257" i="19"/>
  <c r="J257" i="19" s="1"/>
  <c r="I258" i="19"/>
  <c r="I259" i="19"/>
  <c r="I260" i="19"/>
  <c r="J260" i="19" s="1"/>
  <c r="I261" i="19"/>
  <c r="I262" i="19"/>
  <c r="I263" i="19"/>
  <c r="I264" i="19"/>
  <c r="I265" i="19"/>
  <c r="J265" i="19" s="1"/>
  <c r="I266" i="19"/>
  <c r="I267" i="19"/>
  <c r="J267" i="19" s="1"/>
  <c r="I268" i="19"/>
  <c r="I269" i="19"/>
  <c r="J269" i="19" s="1"/>
  <c r="I270" i="19"/>
  <c r="I271" i="19"/>
  <c r="I272" i="19"/>
  <c r="J272" i="19" s="1"/>
  <c r="I273" i="19"/>
  <c r="I274" i="19"/>
  <c r="I275" i="19"/>
  <c r="I276" i="19"/>
  <c r="I277" i="19"/>
  <c r="I278" i="19"/>
  <c r="J278" i="19" s="1"/>
  <c r="I279" i="19"/>
  <c r="I280" i="19"/>
  <c r="I281" i="19"/>
  <c r="J281" i="19" s="1"/>
  <c r="I282" i="19"/>
  <c r="J282" i="19" s="1"/>
  <c r="I283" i="19"/>
  <c r="J283" i="19" s="1"/>
  <c r="I284" i="19"/>
  <c r="J284" i="19" s="1"/>
  <c r="I285" i="19"/>
  <c r="J285" i="19" s="1"/>
  <c r="I286" i="19"/>
  <c r="J286" i="19" s="1"/>
  <c r="I287" i="19"/>
  <c r="I288" i="19"/>
  <c r="J288" i="19" s="1"/>
  <c r="I289" i="19"/>
  <c r="I290" i="19"/>
  <c r="J290" i="19" s="1"/>
  <c r="I291" i="19"/>
  <c r="J291" i="19" s="1"/>
  <c r="I292" i="19"/>
  <c r="J292" i="19" s="1"/>
  <c r="I293" i="19"/>
  <c r="J293" i="19" s="1"/>
  <c r="I294" i="19"/>
  <c r="I295" i="19"/>
  <c r="I296" i="19"/>
  <c r="I297" i="19"/>
  <c r="I298" i="19"/>
  <c r="I299" i="19"/>
  <c r="J299" i="19" s="1"/>
  <c r="I300" i="19"/>
  <c r="I301" i="19"/>
  <c r="I302" i="19"/>
  <c r="J302" i="19" s="1"/>
  <c r="I303" i="19"/>
  <c r="I304" i="19"/>
  <c r="I305" i="19"/>
  <c r="I306" i="19"/>
  <c r="I307" i="19"/>
  <c r="I308" i="19"/>
  <c r="I309" i="19"/>
  <c r="I310" i="19"/>
  <c r="J310" i="19" s="1"/>
  <c r="I311" i="19"/>
  <c r="J311" i="19" s="1"/>
  <c r="I312" i="19"/>
  <c r="J312" i="19" s="1"/>
  <c r="I313" i="19"/>
  <c r="J313" i="19" s="1"/>
  <c r="I314" i="19"/>
  <c r="J314" i="19" s="1"/>
  <c r="I315" i="19"/>
  <c r="I316" i="19"/>
  <c r="I317" i="19"/>
  <c r="J317" i="19" s="1"/>
  <c r="I318" i="19"/>
  <c r="I319" i="19"/>
  <c r="I320" i="19"/>
  <c r="I321" i="19"/>
  <c r="I322" i="19"/>
  <c r="I323" i="19"/>
  <c r="I324" i="19"/>
  <c r="J324" i="19" s="1"/>
  <c r="I325" i="19"/>
  <c r="I326" i="19"/>
  <c r="I327" i="19"/>
  <c r="J327" i="19" s="1"/>
  <c r="I328" i="19"/>
  <c r="I329" i="19"/>
  <c r="I330" i="19"/>
  <c r="I331" i="19"/>
  <c r="I332" i="19"/>
  <c r="I333" i="19"/>
  <c r="I334" i="19"/>
  <c r="I335" i="19"/>
  <c r="J335" i="19" s="1"/>
  <c r="I336" i="19"/>
  <c r="I337" i="19"/>
  <c r="I338" i="19"/>
  <c r="I339" i="19"/>
  <c r="I340" i="19"/>
  <c r="I341" i="19"/>
  <c r="I342" i="19"/>
  <c r="J342" i="19" s="1"/>
  <c r="I343" i="19"/>
  <c r="I344" i="19"/>
  <c r="I345" i="19"/>
  <c r="I346" i="19"/>
  <c r="I347" i="19"/>
  <c r="J347" i="19" s="1"/>
  <c r="I348" i="19"/>
  <c r="J348" i="19" s="1"/>
  <c r="I349" i="19"/>
  <c r="J349" i="19" s="1"/>
  <c r="I350" i="19"/>
  <c r="J350" i="19" s="1"/>
  <c r="I351" i="19"/>
  <c r="J351" i="19" s="1"/>
  <c r="I352" i="19"/>
  <c r="I353" i="19"/>
  <c r="I354" i="19"/>
  <c r="I355" i="19"/>
  <c r="I356" i="19"/>
  <c r="J356" i="19" s="1"/>
  <c r="I357" i="19"/>
  <c r="J357" i="19" s="1"/>
  <c r="I358" i="19"/>
  <c r="J358" i="19" s="1"/>
  <c r="I359" i="19"/>
  <c r="J359" i="19" s="1"/>
  <c r="I360" i="19"/>
  <c r="J360" i="19" s="1"/>
  <c r="I361" i="19"/>
  <c r="I362" i="19"/>
  <c r="I363" i="19"/>
  <c r="J363" i="19" s="1"/>
  <c r="I364" i="19"/>
  <c r="J364" i="19" s="1"/>
  <c r="I365" i="19"/>
  <c r="J365" i="19" s="1"/>
  <c r="I366" i="19"/>
  <c r="J366" i="19" s="1"/>
  <c r="I367" i="19"/>
  <c r="J367" i="19" s="1"/>
  <c r="I368" i="19"/>
  <c r="J368" i="19" s="1"/>
  <c r="I369" i="19"/>
  <c r="J369" i="19" s="1"/>
  <c r="F8" i="19"/>
  <c r="G8" i="19" s="1"/>
  <c r="F9" i="19"/>
  <c r="F10" i="19"/>
  <c r="F11" i="19"/>
  <c r="G11" i="19" s="1"/>
  <c r="F12" i="19"/>
  <c r="F13" i="19"/>
  <c r="F14" i="19"/>
  <c r="F15" i="19"/>
  <c r="G15" i="19" s="1"/>
  <c r="F16" i="19"/>
  <c r="G16" i="19" s="1"/>
  <c r="F17" i="19"/>
  <c r="G17" i="19" s="1"/>
  <c r="F18" i="19"/>
  <c r="G18" i="19" s="1"/>
  <c r="F19" i="19"/>
  <c r="G19" i="19" s="1"/>
  <c r="F20" i="19"/>
  <c r="G20" i="19" s="1"/>
  <c r="F21" i="19"/>
  <c r="G21" i="19" s="1"/>
  <c r="F22" i="19"/>
  <c r="G22" i="19" s="1"/>
  <c r="F23" i="19"/>
  <c r="G23" i="19" s="1"/>
  <c r="F24" i="19"/>
  <c r="F25" i="19"/>
  <c r="G25" i="19" s="1"/>
  <c r="F26" i="19"/>
  <c r="F27" i="19"/>
  <c r="G27" i="19" s="1"/>
  <c r="F28" i="19"/>
  <c r="F29" i="19"/>
  <c r="G29" i="19" s="1"/>
  <c r="F30" i="19"/>
  <c r="F31" i="19"/>
  <c r="F32" i="19"/>
  <c r="F33" i="19"/>
  <c r="G33" i="19" s="1"/>
  <c r="F34" i="19"/>
  <c r="F35" i="19"/>
  <c r="F36" i="19"/>
  <c r="F37" i="19"/>
  <c r="F38" i="19"/>
  <c r="F39" i="19"/>
  <c r="F40" i="19"/>
  <c r="F41" i="19"/>
  <c r="G41" i="19" s="1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G56" i="19" s="1"/>
  <c r="F57" i="19"/>
  <c r="G57" i="19" s="1"/>
  <c r="F58" i="19"/>
  <c r="G58" i="19" s="1"/>
  <c r="F59" i="19"/>
  <c r="G59" i="19" s="1"/>
  <c r="F60" i="19"/>
  <c r="G60" i="19" s="1"/>
  <c r="F61" i="19"/>
  <c r="F62" i="19"/>
  <c r="F63" i="19"/>
  <c r="G63" i="19" s="1"/>
  <c r="F64" i="19"/>
  <c r="F65" i="19"/>
  <c r="F66" i="19"/>
  <c r="G66" i="19" s="1"/>
  <c r="F67" i="19"/>
  <c r="F68" i="19"/>
  <c r="F69" i="19"/>
  <c r="G69" i="19" s="1"/>
  <c r="F70" i="19"/>
  <c r="F71" i="19"/>
  <c r="F72" i="19"/>
  <c r="F73" i="19"/>
  <c r="F74" i="19"/>
  <c r="F75" i="19"/>
  <c r="F76" i="19"/>
  <c r="F77" i="19"/>
  <c r="F78" i="19"/>
  <c r="F79" i="19"/>
  <c r="F80" i="19"/>
  <c r="F81" i="19"/>
  <c r="G81" i="19" s="1"/>
  <c r="F82" i="19"/>
  <c r="F83" i="19"/>
  <c r="G83" i="19" s="1"/>
  <c r="F84" i="19"/>
  <c r="F85" i="19"/>
  <c r="F86" i="19"/>
  <c r="G86" i="19" s="1"/>
  <c r="F87" i="19"/>
  <c r="F88" i="19"/>
  <c r="F89" i="19"/>
  <c r="F90" i="19"/>
  <c r="F91" i="19"/>
  <c r="F92" i="19"/>
  <c r="G92" i="19" s="1"/>
  <c r="F93" i="19"/>
  <c r="F94" i="19"/>
  <c r="F95" i="19"/>
  <c r="F96" i="19"/>
  <c r="G96" i="19" s="1"/>
  <c r="F97" i="19"/>
  <c r="F98" i="19"/>
  <c r="F99" i="19"/>
  <c r="F100" i="19"/>
  <c r="F101" i="19"/>
  <c r="F102" i="19"/>
  <c r="G102" i="19" s="1"/>
  <c r="F103" i="19"/>
  <c r="F104" i="19"/>
  <c r="F105" i="19"/>
  <c r="G105" i="19" s="1"/>
  <c r="F106" i="19"/>
  <c r="F107" i="19"/>
  <c r="F108" i="19"/>
  <c r="G108" i="19" s="1"/>
  <c r="F109" i="19"/>
  <c r="F110" i="19"/>
  <c r="F111" i="19"/>
  <c r="G111" i="19" s="1"/>
  <c r="F112" i="19"/>
  <c r="F113" i="19"/>
  <c r="G113" i="19" s="1"/>
  <c r="F114" i="19"/>
  <c r="G114" i="19" s="1"/>
  <c r="F115" i="19"/>
  <c r="G115" i="19" s="1"/>
  <c r="F116" i="19"/>
  <c r="G116" i="19" s="1"/>
  <c r="F117" i="19"/>
  <c r="G117" i="19" s="1"/>
  <c r="F118" i="19"/>
  <c r="F119" i="19"/>
  <c r="F120" i="19"/>
  <c r="F121" i="19"/>
  <c r="G121" i="19" s="1"/>
  <c r="F122" i="19"/>
  <c r="F123" i="19"/>
  <c r="G123" i="19" s="1"/>
  <c r="F124" i="19"/>
  <c r="G124" i="19" s="1"/>
  <c r="F125" i="19"/>
  <c r="G125" i="19" s="1"/>
  <c r="F126" i="19"/>
  <c r="G126" i="19" s="1"/>
  <c r="F127" i="19"/>
  <c r="G127" i="19" s="1"/>
  <c r="F128" i="19"/>
  <c r="F129" i="19"/>
  <c r="G129" i="19" s="1"/>
  <c r="F130" i="19"/>
  <c r="G130" i="19" s="1"/>
  <c r="F131" i="19"/>
  <c r="G131" i="19" s="1"/>
  <c r="F132" i="19"/>
  <c r="G132" i="19" s="1"/>
  <c r="F133" i="19"/>
  <c r="G133" i="19" s="1"/>
  <c r="F134" i="19"/>
  <c r="F135" i="19"/>
  <c r="G135" i="19" s="1"/>
  <c r="F136" i="19"/>
  <c r="G136" i="19" s="1"/>
  <c r="F137" i="19"/>
  <c r="G137" i="19" s="1"/>
  <c r="F138" i="19"/>
  <c r="G138" i="19" s="1"/>
  <c r="F139" i="19"/>
  <c r="G139" i="19" s="1"/>
  <c r="F140" i="19"/>
  <c r="G140" i="19" s="1"/>
  <c r="F141" i="19"/>
  <c r="G141" i="19" s="1"/>
  <c r="F142" i="19"/>
  <c r="G142" i="19" s="1"/>
  <c r="F143" i="19"/>
  <c r="G143" i="19" s="1"/>
  <c r="F144" i="19"/>
  <c r="F145" i="19"/>
  <c r="F146" i="19"/>
  <c r="G146" i="19" s="1"/>
  <c r="F147" i="19"/>
  <c r="G147" i="19" s="1"/>
  <c r="F148" i="19"/>
  <c r="G148" i="19" s="1"/>
  <c r="F149" i="19"/>
  <c r="G149" i="19" s="1"/>
  <c r="F150" i="19"/>
  <c r="F151" i="19"/>
  <c r="F152" i="19"/>
  <c r="G152" i="19" s="1"/>
  <c r="F153" i="19"/>
  <c r="F154" i="19"/>
  <c r="F155" i="19"/>
  <c r="F156" i="19"/>
  <c r="G156" i="19" s="1"/>
  <c r="F157" i="19"/>
  <c r="F158" i="19"/>
  <c r="F159" i="19"/>
  <c r="F160" i="19"/>
  <c r="G160" i="19" s="1"/>
  <c r="F161" i="19"/>
  <c r="F162" i="19"/>
  <c r="F163" i="19"/>
  <c r="G163" i="19" s="1"/>
  <c r="F164" i="19"/>
  <c r="F165" i="19"/>
  <c r="G165" i="19" s="1"/>
  <c r="F166" i="19"/>
  <c r="F167" i="19"/>
  <c r="F168" i="19"/>
  <c r="G168" i="19" s="1"/>
  <c r="F169" i="19"/>
  <c r="F170" i="19"/>
  <c r="G170" i="19" s="1"/>
  <c r="F171" i="19"/>
  <c r="F172" i="19"/>
  <c r="F173" i="19"/>
  <c r="F174" i="19"/>
  <c r="F175" i="19"/>
  <c r="F176" i="19"/>
  <c r="G176" i="19" s="1"/>
  <c r="F177" i="19"/>
  <c r="F178" i="19"/>
  <c r="F179" i="19"/>
  <c r="G179" i="19" s="1"/>
  <c r="F180" i="19"/>
  <c r="F181" i="19"/>
  <c r="G181" i="19" s="1"/>
  <c r="F182" i="19"/>
  <c r="F183" i="19"/>
  <c r="G183" i="19" s="1"/>
  <c r="F184" i="19"/>
  <c r="F185" i="19"/>
  <c r="G185" i="19" s="1"/>
  <c r="F186" i="19"/>
  <c r="F187" i="19"/>
  <c r="G187" i="19" s="1"/>
  <c r="F188" i="19"/>
  <c r="F189" i="19"/>
  <c r="G189" i="19" s="1"/>
  <c r="F190" i="19"/>
  <c r="F191" i="19"/>
  <c r="G191" i="19" s="1"/>
  <c r="F192" i="19"/>
  <c r="F193" i="19"/>
  <c r="F194" i="19"/>
  <c r="F195" i="19"/>
  <c r="G195" i="19" s="1"/>
  <c r="F196" i="19"/>
  <c r="F197" i="19"/>
  <c r="F198" i="19"/>
  <c r="F199" i="19"/>
  <c r="F200" i="19"/>
  <c r="F201" i="19"/>
  <c r="F202" i="19"/>
  <c r="F203" i="19"/>
  <c r="F204" i="19"/>
  <c r="F205" i="19"/>
  <c r="F206" i="19"/>
  <c r="G206" i="19" s="1"/>
  <c r="F207" i="19"/>
  <c r="G207" i="19" s="1"/>
  <c r="F208" i="19"/>
  <c r="G208" i="19" s="1"/>
  <c r="F209" i="19"/>
  <c r="G209" i="19" s="1"/>
  <c r="F210" i="19"/>
  <c r="G210" i="19" s="1"/>
  <c r="F211" i="19"/>
  <c r="F212" i="19"/>
  <c r="G212" i="19" s="1"/>
  <c r="F213" i="19"/>
  <c r="F214" i="19"/>
  <c r="F215" i="19"/>
  <c r="G215" i="19" s="1"/>
  <c r="F216" i="19"/>
  <c r="F217" i="19"/>
  <c r="F218" i="19"/>
  <c r="G218" i="19" s="1"/>
  <c r="F219" i="19"/>
  <c r="F220" i="19"/>
  <c r="F221" i="19"/>
  <c r="F222" i="19"/>
  <c r="F223" i="19"/>
  <c r="F224" i="19"/>
  <c r="F225" i="19"/>
  <c r="G225" i="19" s="1"/>
  <c r="F226" i="19"/>
  <c r="F227" i="19"/>
  <c r="F228" i="19"/>
  <c r="F229" i="19"/>
  <c r="G229" i="19" s="1"/>
  <c r="F230" i="19"/>
  <c r="F231" i="19"/>
  <c r="F232" i="19"/>
  <c r="G232" i="19" s="1"/>
  <c r="F233" i="19"/>
  <c r="F234" i="19"/>
  <c r="F235" i="19"/>
  <c r="F236" i="19"/>
  <c r="G236" i="19" s="1"/>
  <c r="F237" i="19"/>
  <c r="F238" i="19"/>
  <c r="F239" i="19"/>
  <c r="F240" i="19"/>
  <c r="F241" i="19"/>
  <c r="G241" i="19" s="1"/>
  <c r="F242" i="19"/>
  <c r="G242" i="19" s="1"/>
  <c r="F243" i="19"/>
  <c r="G243" i="19" s="1"/>
  <c r="F244" i="19"/>
  <c r="G244" i="19" s="1"/>
  <c r="F245" i="19"/>
  <c r="G245" i="19" s="1"/>
  <c r="F246" i="19"/>
  <c r="F247" i="19"/>
  <c r="G247" i="19" s="1"/>
  <c r="F248" i="19"/>
  <c r="F249" i="19"/>
  <c r="F250" i="19"/>
  <c r="G250" i="19" s="1"/>
  <c r="F251" i="19"/>
  <c r="F252" i="19"/>
  <c r="G252" i="19" s="1"/>
  <c r="F253" i="19"/>
  <c r="G253" i="19" s="1"/>
  <c r="F254" i="19"/>
  <c r="G254" i="19" s="1"/>
  <c r="F255" i="19"/>
  <c r="G255" i="19" s="1"/>
  <c r="F256" i="19"/>
  <c r="F257" i="19"/>
  <c r="G257" i="19" s="1"/>
  <c r="F258" i="19"/>
  <c r="F259" i="19"/>
  <c r="F260" i="19"/>
  <c r="G260" i="19" s="1"/>
  <c r="F261" i="19"/>
  <c r="F262" i="19"/>
  <c r="F263" i="19"/>
  <c r="F264" i="19"/>
  <c r="F265" i="19"/>
  <c r="G265" i="19" s="1"/>
  <c r="F266" i="19"/>
  <c r="F267" i="19"/>
  <c r="G267" i="19" s="1"/>
  <c r="F268" i="19"/>
  <c r="F269" i="19"/>
  <c r="G269" i="19" s="1"/>
  <c r="F270" i="19"/>
  <c r="F271" i="19"/>
  <c r="F272" i="19"/>
  <c r="G272" i="19" s="1"/>
  <c r="F273" i="19"/>
  <c r="F274" i="19"/>
  <c r="F275" i="19"/>
  <c r="F276" i="19"/>
  <c r="F277" i="19"/>
  <c r="F278" i="19"/>
  <c r="G278" i="19" s="1"/>
  <c r="F279" i="19"/>
  <c r="F280" i="19"/>
  <c r="F281" i="19"/>
  <c r="G281" i="19" s="1"/>
  <c r="F282" i="19"/>
  <c r="F283" i="19"/>
  <c r="G283" i="19" s="1"/>
  <c r="F284" i="19"/>
  <c r="G284" i="19" s="1"/>
  <c r="F285" i="19"/>
  <c r="G285" i="19" s="1"/>
  <c r="F286" i="19"/>
  <c r="G286" i="19" s="1"/>
  <c r="F287" i="19"/>
  <c r="F288" i="19"/>
  <c r="G288" i="19" s="1"/>
  <c r="F289" i="19"/>
  <c r="F290" i="19"/>
  <c r="G290" i="19" s="1"/>
  <c r="F291" i="19"/>
  <c r="G291" i="19" s="1"/>
  <c r="F292" i="19"/>
  <c r="G292" i="19" s="1"/>
  <c r="F293" i="19"/>
  <c r="G293" i="19" s="1"/>
  <c r="F294" i="19"/>
  <c r="F295" i="19"/>
  <c r="F296" i="19"/>
  <c r="F297" i="19"/>
  <c r="F298" i="19"/>
  <c r="F299" i="19"/>
  <c r="G299" i="19" s="1"/>
  <c r="F300" i="19"/>
  <c r="F301" i="19"/>
  <c r="F302" i="19"/>
  <c r="G302" i="19" s="1"/>
  <c r="F303" i="19"/>
  <c r="F304" i="19"/>
  <c r="F305" i="19"/>
  <c r="F306" i="19"/>
  <c r="F307" i="19"/>
  <c r="F308" i="19"/>
  <c r="F309" i="19"/>
  <c r="F310" i="19"/>
  <c r="G310" i="19" s="1"/>
  <c r="F311" i="19"/>
  <c r="G311" i="19" s="1"/>
  <c r="F312" i="19"/>
  <c r="G312" i="19" s="1"/>
  <c r="F313" i="19"/>
  <c r="G313" i="19" s="1"/>
  <c r="F314" i="19"/>
  <c r="G314" i="19" s="1"/>
  <c r="F315" i="19"/>
  <c r="F316" i="19"/>
  <c r="F317" i="19"/>
  <c r="G317" i="19" s="1"/>
  <c r="F318" i="19"/>
  <c r="F319" i="19"/>
  <c r="F320" i="19"/>
  <c r="F321" i="19"/>
  <c r="F322" i="19"/>
  <c r="F323" i="19"/>
  <c r="F324" i="19"/>
  <c r="G324" i="19" s="1"/>
  <c r="F325" i="19"/>
  <c r="F326" i="19"/>
  <c r="F327" i="19"/>
  <c r="G327" i="19" s="1"/>
  <c r="F328" i="19"/>
  <c r="F329" i="19"/>
  <c r="F330" i="19"/>
  <c r="F331" i="19"/>
  <c r="F332" i="19"/>
  <c r="F333" i="19"/>
  <c r="F334" i="19"/>
  <c r="F335" i="19"/>
  <c r="G335" i="19" s="1"/>
  <c r="F336" i="19"/>
  <c r="F337" i="19"/>
  <c r="F338" i="19"/>
  <c r="F339" i="19"/>
  <c r="F340" i="19"/>
  <c r="F341" i="19"/>
  <c r="G341" i="19" s="1"/>
  <c r="F342" i="19"/>
  <c r="G342" i="19" s="1"/>
  <c r="F343" i="19"/>
  <c r="F344" i="19"/>
  <c r="F345" i="19"/>
  <c r="F346" i="19"/>
  <c r="F347" i="19"/>
  <c r="G347" i="19" s="1"/>
  <c r="F348" i="19"/>
  <c r="G348" i="19" s="1"/>
  <c r="F349" i="19"/>
  <c r="G349" i="19" s="1"/>
  <c r="F350" i="19"/>
  <c r="G350" i="19" s="1"/>
  <c r="F351" i="19"/>
  <c r="G351" i="19" s="1"/>
  <c r="F352" i="19"/>
  <c r="F353" i="19"/>
  <c r="F354" i="19"/>
  <c r="F355" i="19"/>
  <c r="F356" i="19"/>
  <c r="G356" i="19" s="1"/>
  <c r="F357" i="19"/>
  <c r="G357" i="19" s="1"/>
  <c r="F358" i="19"/>
  <c r="G358" i="19" s="1"/>
  <c r="F359" i="19"/>
  <c r="G359" i="19" s="1"/>
  <c r="F360" i="19"/>
  <c r="G360" i="19" s="1"/>
  <c r="F361" i="19"/>
  <c r="F362" i="19"/>
  <c r="F363" i="19"/>
  <c r="G363" i="19" s="1"/>
  <c r="F364" i="19"/>
  <c r="G364" i="19" s="1"/>
  <c r="F365" i="19"/>
  <c r="G365" i="19" s="1"/>
  <c r="F366" i="19"/>
  <c r="G366" i="19" s="1"/>
  <c r="F367" i="19"/>
  <c r="G367" i="19" s="1"/>
  <c r="F368" i="19"/>
  <c r="F369" i="19"/>
  <c r="AG7" i="19"/>
  <c r="AD7" i="19"/>
  <c r="AA7" i="19"/>
  <c r="X7" i="19"/>
  <c r="U7" i="19"/>
  <c r="R7" i="19"/>
  <c r="O7" i="19"/>
  <c r="L7" i="19"/>
  <c r="I7" i="19"/>
  <c r="F7" i="19"/>
  <c r="AC369" i="19" l="1"/>
  <c r="AE369" i="19" s="1"/>
  <c r="W369" i="19"/>
  <c r="Y369" i="19" s="1"/>
  <c r="Q369" i="19"/>
  <c r="S369" i="19" s="1"/>
  <c r="E369" i="19"/>
  <c r="G369" i="19" s="1"/>
  <c r="AC368" i="19"/>
  <c r="AE368" i="19" s="1"/>
  <c r="W368" i="19"/>
  <c r="Y368" i="19" s="1"/>
  <c r="Q368" i="19"/>
  <c r="S368" i="19" s="1"/>
  <c r="E368" i="19"/>
  <c r="G368" i="19" s="1"/>
  <c r="M362" i="19"/>
  <c r="M361" i="19"/>
  <c r="M355" i="19"/>
  <c r="AC354" i="19"/>
  <c r="AE354" i="19" s="1"/>
  <c r="W354" i="19"/>
  <c r="Y354" i="19" s="1"/>
  <c r="Q354" i="19"/>
  <c r="S354" i="19" s="1"/>
  <c r="N354" i="19"/>
  <c r="P354" i="19" s="1"/>
  <c r="E354" i="19"/>
  <c r="G354" i="19" s="1"/>
  <c r="K353" i="19"/>
  <c r="M353" i="19" s="1"/>
  <c r="K352" i="19"/>
  <c r="M352" i="19" s="1"/>
  <c r="K346" i="19"/>
  <c r="M346" i="19" s="1"/>
  <c r="K345" i="19"/>
  <c r="M345" i="19" s="1"/>
  <c r="K344" i="19"/>
  <c r="M344" i="19" s="1"/>
  <c r="K343" i="19"/>
  <c r="M343" i="19" s="1"/>
  <c r="K340" i="19"/>
  <c r="M340" i="19" s="1"/>
  <c r="M339" i="19"/>
  <c r="M338" i="19"/>
  <c r="K337" i="19"/>
  <c r="M337" i="19" s="1"/>
  <c r="K336" i="19"/>
  <c r="M336" i="19" s="1"/>
  <c r="K334" i="19"/>
  <c r="M334" i="19" s="1"/>
  <c r="K333" i="19"/>
  <c r="M333" i="19" s="1"/>
  <c r="K332" i="19"/>
  <c r="M332" i="19" s="1"/>
  <c r="K331" i="19"/>
  <c r="M331" i="19" s="1"/>
  <c r="K330" i="19"/>
  <c r="M330" i="19" s="1"/>
  <c r="K329" i="19"/>
  <c r="M329" i="19" s="1"/>
  <c r="K328" i="19"/>
  <c r="M328" i="19" s="1"/>
  <c r="K326" i="19"/>
  <c r="M326" i="19" s="1"/>
  <c r="K325" i="19"/>
  <c r="M325" i="19" s="1"/>
  <c r="K323" i="19"/>
  <c r="M323" i="19" s="1"/>
  <c r="K322" i="19"/>
  <c r="M322" i="19" s="1"/>
  <c r="K321" i="19"/>
  <c r="M321" i="19" s="1"/>
  <c r="K320" i="19"/>
  <c r="M320" i="19" s="1"/>
  <c r="K319" i="19"/>
  <c r="M319" i="19" s="1"/>
  <c r="K318" i="19"/>
  <c r="M318" i="19" s="1"/>
  <c r="K316" i="19"/>
  <c r="M316" i="19" s="1"/>
  <c r="K315" i="19"/>
  <c r="M315" i="19" s="1"/>
  <c r="K309" i="19"/>
  <c r="M309" i="19" s="1"/>
  <c r="K308" i="19"/>
  <c r="M308" i="19" s="1"/>
  <c r="K307" i="19"/>
  <c r="M307" i="19" s="1"/>
  <c r="K306" i="19"/>
  <c r="M306" i="19" s="1"/>
  <c r="K305" i="19"/>
  <c r="M305" i="19" s="1"/>
  <c r="K304" i="19"/>
  <c r="M304" i="19" s="1"/>
  <c r="K303" i="19"/>
  <c r="M303" i="19" s="1"/>
  <c r="K301" i="19"/>
  <c r="M301" i="19" s="1"/>
  <c r="K300" i="19"/>
  <c r="M300" i="19" s="1"/>
  <c r="K298" i="19"/>
  <c r="M298" i="19" s="1"/>
  <c r="K297" i="19"/>
  <c r="M297" i="19" s="1"/>
  <c r="K296" i="19"/>
  <c r="M296" i="19" s="1"/>
  <c r="K295" i="19"/>
  <c r="M295" i="19" s="1"/>
  <c r="K294" i="19"/>
  <c r="M294" i="19" s="1"/>
  <c r="K289" i="19"/>
  <c r="M289" i="19" s="1"/>
  <c r="K287" i="19"/>
  <c r="M287" i="19" s="1"/>
  <c r="AC282" i="19"/>
  <c r="AE282" i="19" s="1"/>
  <c r="W282" i="19"/>
  <c r="Y282" i="19" s="1"/>
  <c r="S282" i="19"/>
  <c r="E282" i="19"/>
  <c r="G282" i="19" s="1"/>
  <c r="K280" i="19"/>
  <c r="M280" i="19" s="1"/>
  <c r="K279" i="19"/>
  <c r="M279" i="19" s="1"/>
  <c r="K277" i="19"/>
  <c r="M277" i="19" s="1"/>
  <c r="K276" i="19"/>
  <c r="M276" i="19" s="1"/>
  <c r="K275" i="19"/>
  <c r="M275" i="19" s="1"/>
  <c r="K274" i="19"/>
  <c r="M274" i="19" s="1"/>
  <c r="K273" i="19"/>
  <c r="M273" i="19" s="1"/>
  <c r="K271" i="19"/>
  <c r="M271" i="19" s="1"/>
  <c r="K270" i="19"/>
  <c r="M270" i="19" s="1"/>
  <c r="K268" i="19"/>
  <c r="M268" i="19" s="1"/>
  <c r="K266" i="19"/>
  <c r="M266" i="19" s="1"/>
  <c r="K264" i="19"/>
  <c r="M264" i="19" s="1"/>
  <c r="K263" i="19"/>
  <c r="M263" i="19" s="1"/>
  <c r="K262" i="19"/>
  <c r="M262" i="19" s="1"/>
  <c r="AC261" i="19"/>
  <c r="AE261" i="19" s="1"/>
  <c r="W261" i="19"/>
  <c r="Y261" i="19" s="1"/>
  <c r="Q261" i="19"/>
  <c r="S261" i="19" s="1"/>
  <c r="N261" i="19"/>
  <c r="P261" i="19" s="1"/>
  <c r="E261" i="19"/>
  <c r="G261" i="19" s="1"/>
  <c r="AC259" i="19"/>
  <c r="AE259" i="19" s="1"/>
  <c r="W259" i="19"/>
  <c r="Y259" i="19" s="1"/>
  <c r="Q259" i="19"/>
  <c r="S259" i="19" s="1"/>
  <c r="N259" i="19"/>
  <c r="P259" i="19" s="1"/>
  <c r="E259" i="19"/>
  <c r="G259" i="19" s="1"/>
  <c r="AC258" i="19"/>
  <c r="AE258" i="19" s="1"/>
  <c r="W258" i="19"/>
  <c r="Y258" i="19" s="1"/>
  <c r="Q258" i="19"/>
  <c r="S258" i="19" s="1"/>
  <c r="N258" i="19"/>
  <c r="P258" i="19" s="1"/>
  <c r="E258" i="19"/>
  <c r="G258" i="19" s="1"/>
  <c r="K256" i="19"/>
  <c r="M256" i="19" s="1"/>
  <c r="K251" i="19"/>
  <c r="M251" i="19" s="1"/>
  <c r="K249" i="19"/>
  <c r="M249" i="19" s="1"/>
  <c r="K248" i="19"/>
  <c r="M248" i="19" s="1"/>
  <c r="K246" i="19"/>
  <c r="M246" i="19" s="1"/>
  <c r="K240" i="19"/>
  <c r="M240" i="19" s="1"/>
  <c r="K239" i="19"/>
  <c r="M239" i="19" s="1"/>
  <c r="K238" i="19"/>
  <c r="M238" i="19" s="1"/>
  <c r="K237" i="19"/>
  <c r="M237" i="19" s="1"/>
  <c r="K235" i="19"/>
  <c r="M235" i="19" s="1"/>
  <c r="K234" i="19"/>
  <c r="M234" i="19" s="1"/>
  <c r="K233" i="19"/>
  <c r="M233" i="19" s="1"/>
  <c r="K231" i="19"/>
  <c r="M231" i="19" s="1"/>
  <c r="K230" i="19"/>
  <c r="M230" i="19" s="1"/>
  <c r="K228" i="19"/>
  <c r="M228" i="19" s="1"/>
  <c r="K227" i="19"/>
  <c r="M227" i="19" s="1"/>
  <c r="K226" i="19"/>
  <c r="M226" i="19" s="1"/>
  <c r="K224" i="19"/>
  <c r="M224" i="19" s="1"/>
  <c r="K223" i="19"/>
  <c r="M223" i="19" s="1"/>
  <c r="K222" i="19"/>
  <c r="M222" i="19" s="1"/>
  <c r="K221" i="19"/>
  <c r="M221" i="19" s="1"/>
  <c r="K220" i="19"/>
  <c r="M220" i="19" s="1"/>
  <c r="K219" i="19"/>
  <c r="M219" i="19" s="1"/>
  <c r="K217" i="19"/>
  <c r="M217" i="19" s="1"/>
  <c r="K216" i="19"/>
  <c r="M216" i="19" s="1"/>
  <c r="K214" i="19"/>
  <c r="M214" i="19" s="1"/>
  <c r="K213" i="19"/>
  <c r="M213" i="19" s="1"/>
  <c r="K211" i="19"/>
  <c r="M211" i="19" s="1"/>
  <c r="K205" i="19"/>
  <c r="M205" i="19" s="1"/>
  <c r="K204" i="19"/>
  <c r="M204" i="19" s="1"/>
  <c r="K203" i="19"/>
  <c r="M203" i="19" s="1"/>
  <c r="K202" i="19"/>
  <c r="M202" i="19" s="1"/>
  <c r="K201" i="19"/>
  <c r="M201" i="19" s="1"/>
  <c r="K200" i="19"/>
  <c r="M200" i="19" s="1"/>
  <c r="K199" i="19"/>
  <c r="M199" i="19" s="1"/>
  <c r="K198" i="19"/>
  <c r="M198" i="19" s="1"/>
  <c r="K197" i="19"/>
  <c r="M197" i="19" s="1"/>
  <c r="K196" i="19"/>
  <c r="M196" i="19" s="1"/>
  <c r="K194" i="19"/>
  <c r="M194" i="19" s="1"/>
  <c r="K193" i="19"/>
  <c r="M193" i="19" s="1"/>
  <c r="K192" i="19"/>
  <c r="M192" i="19" s="1"/>
  <c r="K190" i="19"/>
  <c r="M190" i="19" s="1"/>
  <c r="K188" i="19"/>
  <c r="M188" i="19" s="1"/>
  <c r="K186" i="19"/>
  <c r="M186" i="19" s="1"/>
  <c r="K184" i="19"/>
  <c r="M184" i="19" s="1"/>
  <c r="K182" i="19"/>
  <c r="M182" i="19" s="1"/>
  <c r="K180" i="19"/>
  <c r="M180" i="19" s="1"/>
  <c r="K178" i="19"/>
  <c r="M178" i="19" s="1"/>
  <c r="K177" i="19"/>
  <c r="M177" i="19" s="1"/>
  <c r="K175" i="19"/>
  <c r="M175" i="19" s="1"/>
  <c r="K174" i="19"/>
  <c r="M174" i="19" s="1"/>
  <c r="K173" i="19"/>
  <c r="M173" i="19" s="1"/>
  <c r="K172" i="19"/>
  <c r="M172" i="19" s="1"/>
  <c r="K171" i="19"/>
  <c r="M171" i="19" s="1"/>
  <c r="K169" i="19"/>
  <c r="M169" i="19" s="1"/>
  <c r="K167" i="19"/>
  <c r="M167" i="19" s="1"/>
  <c r="K166" i="19"/>
  <c r="M166" i="19" s="1"/>
  <c r="K164" i="19"/>
  <c r="M164" i="19" s="1"/>
  <c r="K162" i="19"/>
  <c r="M162" i="19" s="1"/>
  <c r="K161" i="19"/>
  <c r="M161" i="19" s="1"/>
  <c r="K159" i="19"/>
  <c r="M159" i="19" s="1"/>
  <c r="K158" i="19"/>
  <c r="M158" i="19" s="1"/>
  <c r="K157" i="19"/>
  <c r="M157" i="19" s="1"/>
  <c r="K155" i="19"/>
  <c r="M155" i="19" s="1"/>
  <c r="K154" i="19"/>
  <c r="M154" i="19" s="1"/>
  <c r="K153" i="19"/>
  <c r="M153" i="19" s="1"/>
  <c r="K151" i="19"/>
  <c r="M151" i="19" s="1"/>
  <c r="K150" i="19"/>
  <c r="M150" i="19" s="1"/>
  <c r="K145" i="19"/>
  <c r="M145" i="19" s="1"/>
  <c r="K144" i="19"/>
  <c r="M144" i="19" s="1"/>
  <c r="AC134" i="19"/>
  <c r="AE134" i="19" s="1"/>
  <c r="W134" i="19"/>
  <c r="Y134" i="19" s="1"/>
  <c r="Q134" i="19"/>
  <c r="S134" i="19" s="1"/>
  <c r="N134" i="19"/>
  <c r="P134" i="19" s="1"/>
  <c r="E134" i="19"/>
  <c r="G134" i="19" s="1"/>
  <c r="K128" i="19"/>
  <c r="M128" i="19" s="1"/>
  <c r="K122" i="19"/>
  <c r="M122" i="19" s="1"/>
  <c r="K120" i="19"/>
  <c r="M120" i="19" s="1"/>
  <c r="K119" i="19"/>
  <c r="M119" i="19" s="1"/>
  <c r="K118" i="19"/>
  <c r="M118" i="19" s="1"/>
  <c r="K112" i="19"/>
  <c r="M112" i="19" s="1"/>
  <c r="K110" i="19"/>
  <c r="M110" i="19" s="1"/>
  <c r="K109" i="19"/>
  <c r="M109" i="19" s="1"/>
  <c r="K107" i="19"/>
  <c r="M107" i="19" s="1"/>
  <c r="K106" i="19"/>
  <c r="M106" i="19" s="1"/>
  <c r="K104" i="19"/>
  <c r="M104" i="19" s="1"/>
  <c r="K103" i="19"/>
  <c r="M103" i="19" s="1"/>
  <c r="K101" i="19"/>
  <c r="M101" i="19" s="1"/>
  <c r="K100" i="19"/>
  <c r="M100" i="19" s="1"/>
  <c r="K99" i="19"/>
  <c r="M99" i="19" s="1"/>
  <c r="K98" i="19"/>
  <c r="M98" i="19" s="1"/>
  <c r="K97" i="19"/>
  <c r="M97" i="19" s="1"/>
  <c r="K95" i="19"/>
  <c r="M95" i="19" s="1"/>
  <c r="K94" i="19"/>
  <c r="M94" i="19" s="1"/>
  <c r="K93" i="19"/>
  <c r="M93" i="19" s="1"/>
  <c r="K91" i="19"/>
  <c r="M91" i="19" s="1"/>
  <c r="M90" i="19"/>
  <c r="K89" i="19"/>
  <c r="M89" i="19" s="1"/>
  <c r="K88" i="19"/>
  <c r="M88" i="19" s="1"/>
  <c r="M87" i="19"/>
  <c r="K85" i="19"/>
  <c r="M85" i="19" s="1"/>
  <c r="K84" i="19"/>
  <c r="M84" i="19" s="1"/>
  <c r="K82" i="19"/>
  <c r="M82" i="19" s="1"/>
  <c r="K80" i="19"/>
  <c r="M80" i="19" s="1"/>
  <c r="K79" i="19"/>
  <c r="M79" i="19" s="1"/>
  <c r="K78" i="19"/>
  <c r="M78" i="19" s="1"/>
  <c r="K77" i="19"/>
  <c r="M77" i="19" s="1"/>
  <c r="K76" i="19"/>
  <c r="M76" i="19" s="1"/>
  <c r="K75" i="19"/>
  <c r="M75" i="19" s="1"/>
  <c r="K74" i="19"/>
  <c r="M74" i="19" s="1"/>
  <c r="K73" i="19"/>
  <c r="M73" i="19" s="1"/>
  <c r="K72" i="19"/>
  <c r="M72" i="19" s="1"/>
  <c r="K71" i="19"/>
  <c r="M71" i="19" s="1"/>
  <c r="K70" i="19"/>
  <c r="M70" i="19" s="1"/>
  <c r="K68" i="19"/>
  <c r="M68" i="19" s="1"/>
  <c r="K67" i="19"/>
  <c r="M67" i="19" s="1"/>
  <c r="AC65" i="19"/>
  <c r="AE65" i="19" s="1"/>
  <c r="W65" i="19"/>
  <c r="Y65" i="19" s="1"/>
  <c r="Q65" i="19"/>
  <c r="S65" i="19" s="1"/>
  <c r="N65" i="19"/>
  <c r="E65" i="19"/>
  <c r="G65" i="19" s="1"/>
  <c r="AC64" i="19"/>
  <c r="AE64" i="19" s="1"/>
  <c r="W64" i="19"/>
  <c r="Y64" i="19" s="1"/>
  <c r="Q64" i="19"/>
  <c r="S64" i="19" s="1"/>
  <c r="N64" i="19"/>
  <c r="E64" i="19"/>
  <c r="G64" i="19" s="1"/>
  <c r="K62" i="19"/>
  <c r="M62" i="19" s="1"/>
  <c r="K61" i="19"/>
  <c r="M61" i="19" s="1"/>
  <c r="K55" i="19"/>
  <c r="M55" i="19" s="1"/>
  <c r="K54" i="19"/>
  <c r="M54" i="19" s="1"/>
  <c r="K53" i="19"/>
  <c r="M53" i="19" s="1"/>
  <c r="K52" i="19"/>
  <c r="M52" i="19" s="1"/>
  <c r="K51" i="19"/>
  <c r="M51" i="19" s="1"/>
  <c r="K50" i="19"/>
  <c r="M50" i="19" s="1"/>
  <c r="K49" i="19"/>
  <c r="M49" i="19" s="1"/>
  <c r="K48" i="19"/>
  <c r="M48" i="19" s="1"/>
  <c r="K47" i="19"/>
  <c r="M47" i="19" s="1"/>
  <c r="K46" i="19"/>
  <c r="M46" i="19" s="1"/>
  <c r="K45" i="19"/>
  <c r="M45" i="19" s="1"/>
  <c r="K44" i="19"/>
  <c r="M44" i="19" s="1"/>
  <c r="K43" i="19"/>
  <c r="M43" i="19" s="1"/>
  <c r="K42" i="19"/>
  <c r="M42" i="19" s="1"/>
  <c r="K40" i="19"/>
  <c r="M40" i="19" s="1"/>
  <c r="K39" i="19"/>
  <c r="M39" i="19" s="1"/>
  <c r="K38" i="19"/>
  <c r="M38" i="19" s="1"/>
  <c r="K37" i="19"/>
  <c r="M37" i="19" s="1"/>
  <c r="K36" i="19"/>
  <c r="M36" i="19" s="1"/>
  <c r="K35" i="19"/>
  <c r="M35" i="19" s="1"/>
  <c r="K34" i="19"/>
  <c r="M34" i="19" s="1"/>
  <c r="K32" i="19"/>
  <c r="M32" i="19" s="1"/>
  <c r="K31" i="19"/>
  <c r="M31" i="19" s="1"/>
  <c r="K30" i="19"/>
  <c r="M30" i="19" s="1"/>
  <c r="K28" i="19"/>
  <c r="M28" i="19" s="1"/>
  <c r="K26" i="19"/>
  <c r="M26" i="19" s="1"/>
  <c r="K24" i="19"/>
  <c r="M24" i="19" s="1"/>
  <c r="K14" i="19"/>
  <c r="M14" i="19" s="1"/>
  <c r="K13" i="19"/>
  <c r="M13" i="19" s="1"/>
  <c r="K12" i="19"/>
  <c r="M12" i="19" s="1"/>
  <c r="K10" i="19"/>
  <c r="M10" i="19" s="1"/>
  <c r="K9" i="19"/>
  <c r="M9" i="19" s="1"/>
  <c r="K7" i="19"/>
  <c r="M7" i="19" s="1"/>
  <c r="H65" i="19" l="1"/>
  <c r="J65" i="19" s="1"/>
  <c r="P65" i="19"/>
  <c r="H64" i="19"/>
  <c r="J64" i="19" s="1"/>
  <c r="P64" i="19"/>
  <c r="Z65" i="19"/>
  <c r="AB65" i="19" s="1"/>
  <c r="H261" i="19"/>
  <c r="J261" i="19" s="1"/>
  <c r="AC13" i="19"/>
  <c r="AE13" i="19" s="1"/>
  <c r="Q43" i="19"/>
  <c r="S43" i="19" s="1"/>
  <c r="AC89" i="19"/>
  <c r="AE89" i="19" s="1"/>
  <c r="AC110" i="19"/>
  <c r="AE110" i="19" s="1"/>
  <c r="AC153" i="19"/>
  <c r="AE153" i="19" s="1"/>
  <c r="N175" i="19"/>
  <c r="P175" i="19" s="1"/>
  <c r="N200" i="19"/>
  <c r="P200" i="19" s="1"/>
  <c r="W224" i="19"/>
  <c r="Y224" i="19" s="1"/>
  <c r="T261" i="19"/>
  <c r="V261" i="19" s="1"/>
  <c r="W270" i="19"/>
  <c r="Y270" i="19" s="1"/>
  <c r="AE305" i="19"/>
  <c r="E332" i="19"/>
  <c r="G332" i="19" s="1"/>
  <c r="W35" i="19"/>
  <c r="Y35" i="19" s="1"/>
  <c r="W52" i="19"/>
  <c r="Y52" i="19" s="1"/>
  <c r="T64" i="19"/>
  <c r="V64" i="19" s="1"/>
  <c r="AF65" i="19"/>
  <c r="AH65" i="19" s="1"/>
  <c r="N106" i="19"/>
  <c r="P106" i="19" s="1"/>
  <c r="N112" i="19"/>
  <c r="P112" i="19" s="1"/>
  <c r="AC122" i="19"/>
  <c r="AE122" i="19" s="1"/>
  <c r="E159" i="19"/>
  <c r="G159" i="19" s="1"/>
  <c r="AC166" i="19"/>
  <c r="AE166" i="19" s="1"/>
  <c r="E172" i="19"/>
  <c r="G172" i="19" s="1"/>
  <c r="Q192" i="19"/>
  <c r="S192" i="19" s="1"/>
  <c r="E197" i="19"/>
  <c r="G197" i="19" s="1"/>
  <c r="E237" i="19"/>
  <c r="G237" i="19" s="1"/>
  <c r="N246" i="19"/>
  <c r="P246" i="19" s="1"/>
  <c r="AC256" i="19"/>
  <c r="AE256" i="19" s="1"/>
  <c r="Z258" i="19"/>
  <c r="AB258" i="19" s="1"/>
  <c r="T259" i="19"/>
  <c r="V259" i="19" s="1"/>
  <c r="Z261" i="19"/>
  <c r="AB261" i="19" s="1"/>
  <c r="N264" i="19"/>
  <c r="P264" i="19" s="1"/>
  <c r="E271" i="19"/>
  <c r="G271" i="19" s="1"/>
  <c r="E287" i="19"/>
  <c r="G287" i="19" s="1"/>
  <c r="W296" i="19"/>
  <c r="Y296" i="19" s="1"/>
  <c r="W301" i="19"/>
  <c r="Y301" i="19" s="1"/>
  <c r="S315" i="19"/>
  <c r="AC320" i="19"/>
  <c r="AE320" i="19" s="1"/>
  <c r="W325" i="19"/>
  <c r="Y325" i="19" s="1"/>
  <c r="AC330" i="19"/>
  <c r="AE330" i="19" s="1"/>
  <c r="E340" i="19"/>
  <c r="G340" i="19" s="1"/>
  <c r="AF354" i="19"/>
  <c r="AH354" i="19" s="1"/>
  <c r="N34" i="19"/>
  <c r="P34" i="19" s="1"/>
  <c r="N84" i="19"/>
  <c r="P84" i="19" s="1"/>
  <c r="E120" i="19"/>
  <c r="G120" i="19" s="1"/>
  <c r="AC164" i="19"/>
  <c r="AE164" i="19" s="1"/>
  <c r="W196" i="19"/>
  <c r="Y196" i="19" s="1"/>
  <c r="AC220" i="19"/>
  <c r="AE220" i="19" s="1"/>
  <c r="E235" i="19"/>
  <c r="G235" i="19" s="1"/>
  <c r="AC280" i="19"/>
  <c r="AE280" i="19" s="1"/>
  <c r="Y295" i="19"/>
  <c r="E319" i="19"/>
  <c r="G319" i="19" s="1"/>
  <c r="AC334" i="19"/>
  <c r="AE334" i="19" s="1"/>
  <c r="H354" i="19"/>
  <c r="J354" i="19" s="1"/>
  <c r="Z354" i="19"/>
  <c r="AB354" i="19" s="1"/>
  <c r="W39" i="19"/>
  <c r="Y39" i="19" s="1"/>
  <c r="W48" i="19"/>
  <c r="Y48" i="19" s="1"/>
  <c r="N85" i="19"/>
  <c r="P85" i="19" s="1"/>
  <c r="N95" i="19"/>
  <c r="P95" i="19" s="1"/>
  <c r="E31" i="19"/>
  <c r="G31" i="19" s="1"/>
  <c r="E40" i="19"/>
  <c r="G40" i="19" s="1"/>
  <c r="N53" i="19"/>
  <c r="P53" i="19" s="1"/>
  <c r="N80" i="19"/>
  <c r="P80" i="19" s="1"/>
  <c r="N118" i="19"/>
  <c r="P118" i="19" s="1"/>
  <c r="AC150" i="19"/>
  <c r="AE150" i="19" s="1"/>
  <c r="AC161" i="19"/>
  <c r="AE161" i="19" s="1"/>
  <c r="E178" i="19"/>
  <c r="G178" i="19" s="1"/>
  <c r="N193" i="19"/>
  <c r="P193" i="19" s="1"/>
  <c r="E217" i="19"/>
  <c r="G217" i="19" s="1"/>
  <c r="E227" i="19"/>
  <c r="G227" i="19" s="1"/>
  <c r="AC233" i="19"/>
  <c r="AE233" i="19" s="1"/>
  <c r="E238" i="19"/>
  <c r="G238" i="19" s="1"/>
  <c r="H258" i="19"/>
  <c r="J258" i="19" s="1"/>
  <c r="AF258" i="19"/>
  <c r="AH258" i="19" s="1"/>
  <c r="AF261" i="19"/>
  <c r="AH261" i="19" s="1"/>
  <c r="W266" i="19"/>
  <c r="Y266" i="19" s="1"/>
  <c r="AC273" i="19"/>
  <c r="AE273" i="19" s="1"/>
  <c r="N277" i="19"/>
  <c r="P277" i="19" s="1"/>
  <c r="AC303" i="19"/>
  <c r="AE303" i="19" s="1"/>
  <c r="E307" i="19"/>
  <c r="G307" i="19" s="1"/>
  <c r="AC316" i="19"/>
  <c r="AE316" i="19" s="1"/>
  <c r="E337" i="19"/>
  <c r="G337" i="19" s="1"/>
  <c r="AC343" i="19"/>
  <c r="AE343" i="19" s="1"/>
  <c r="AC352" i="19"/>
  <c r="AE352" i="19" s="1"/>
  <c r="Q28" i="19"/>
  <c r="S28" i="19" s="1"/>
  <c r="E38" i="19"/>
  <c r="G38" i="19" s="1"/>
  <c r="E47" i="19"/>
  <c r="G47" i="19" s="1"/>
  <c r="Q74" i="19"/>
  <c r="S74" i="19" s="1"/>
  <c r="E78" i="19"/>
  <c r="G78" i="19" s="1"/>
  <c r="N94" i="19"/>
  <c r="P94" i="19" s="1"/>
  <c r="E99" i="19"/>
  <c r="G99" i="19" s="1"/>
  <c r="N104" i="19"/>
  <c r="P104" i="19" s="1"/>
  <c r="AC144" i="19"/>
  <c r="AE144" i="19" s="1"/>
  <c r="AC158" i="19"/>
  <c r="AE158" i="19" s="1"/>
  <c r="AC171" i="19"/>
  <c r="AE171" i="19" s="1"/>
  <c r="N182" i="19"/>
  <c r="P182" i="19" s="1"/>
  <c r="P190" i="19"/>
  <c r="E204" i="19"/>
  <c r="G204" i="19" s="1"/>
  <c r="N230" i="19"/>
  <c r="P230" i="19" s="1"/>
  <c r="W240" i="19"/>
  <c r="Y240" i="19" s="1"/>
  <c r="T258" i="19"/>
  <c r="V258" i="19" s="1"/>
  <c r="AF259" i="19"/>
  <c r="AH259" i="19" s="1"/>
  <c r="AC263" i="19"/>
  <c r="AE263" i="19" s="1"/>
  <c r="AC275" i="19"/>
  <c r="AE275" i="19" s="1"/>
  <c r="N300" i="19"/>
  <c r="P300" i="19" s="1"/>
  <c r="AC309" i="19"/>
  <c r="AE309" i="19" s="1"/>
  <c r="N339" i="19"/>
  <c r="W30" i="19"/>
  <c r="Y30" i="19" s="1"/>
  <c r="Y44" i="19"/>
  <c r="N75" i="19"/>
  <c r="P75" i="19" s="1"/>
  <c r="E10" i="19"/>
  <c r="G10" i="19" s="1"/>
  <c r="E24" i="19"/>
  <c r="G24" i="19" s="1"/>
  <c r="Q36" i="19"/>
  <c r="S36" i="19" s="1"/>
  <c r="E45" i="19"/>
  <c r="G45" i="19" s="1"/>
  <c r="Z64" i="19"/>
  <c r="AB64" i="19" s="1"/>
  <c r="T65" i="19"/>
  <c r="V65" i="19" s="1"/>
  <c r="N91" i="19"/>
  <c r="P91" i="19" s="1"/>
  <c r="N101" i="19"/>
  <c r="P101" i="19" s="1"/>
  <c r="W128" i="19"/>
  <c r="Y128" i="19" s="1"/>
  <c r="AC155" i="19"/>
  <c r="AE155" i="19" s="1"/>
  <c r="AC167" i="19"/>
  <c r="AE167" i="19" s="1"/>
  <c r="AC173" i="19"/>
  <c r="AE173" i="19" s="1"/>
  <c r="AC12" i="19"/>
  <c r="AE12" i="19" s="1"/>
  <c r="W46" i="19"/>
  <c r="Y46" i="19" s="1"/>
  <c r="W50" i="19"/>
  <c r="Y50" i="19" s="1"/>
  <c r="AF64" i="19"/>
  <c r="AH64" i="19" s="1"/>
  <c r="W73" i="19"/>
  <c r="Y73" i="19" s="1"/>
  <c r="N77" i="19"/>
  <c r="P77" i="19" s="1"/>
  <c r="N82" i="19"/>
  <c r="P82" i="19" s="1"/>
  <c r="N88" i="19"/>
  <c r="P88" i="19" s="1"/>
  <c r="N93" i="19"/>
  <c r="P93" i="19" s="1"/>
  <c r="N98" i="19"/>
  <c r="P98" i="19" s="1"/>
  <c r="N103" i="19"/>
  <c r="P103" i="19" s="1"/>
  <c r="N109" i="19"/>
  <c r="P109" i="19" s="1"/>
  <c r="N119" i="19"/>
  <c r="P119" i="19" s="1"/>
  <c r="Q151" i="19"/>
  <c r="S151" i="19" s="1"/>
  <c r="S169" i="19"/>
  <c r="Q180" i="19"/>
  <c r="S180" i="19" s="1"/>
  <c r="W188" i="19"/>
  <c r="Y188" i="19" s="1"/>
  <c r="E194" i="19"/>
  <c r="G194" i="19" s="1"/>
  <c r="Q199" i="19"/>
  <c r="S199" i="19" s="1"/>
  <c r="AC203" i="19"/>
  <c r="AE203" i="19" s="1"/>
  <c r="E213" i="19"/>
  <c r="G213" i="19" s="1"/>
  <c r="W219" i="19"/>
  <c r="Y219" i="19" s="1"/>
  <c r="N223" i="19"/>
  <c r="P223" i="19" s="1"/>
  <c r="E234" i="19"/>
  <c r="G234" i="19" s="1"/>
  <c r="N239" i="19"/>
  <c r="P239" i="19" s="1"/>
  <c r="AC249" i="19"/>
  <c r="AE249" i="19" s="1"/>
  <c r="H259" i="19"/>
  <c r="J259" i="19" s="1"/>
  <c r="Z259" i="19"/>
  <c r="AB259" i="19" s="1"/>
  <c r="E262" i="19"/>
  <c r="G262" i="19" s="1"/>
  <c r="E274" i="19"/>
  <c r="G274" i="19" s="1"/>
  <c r="AE279" i="19"/>
  <c r="Q294" i="19"/>
  <c r="S294" i="19" s="1"/>
  <c r="Q298" i="19"/>
  <c r="S298" i="19" s="1"/>
  <c r="E308" i="19"/>
  <c r="G308" i="19" s="1"/>
  <c r="Q322" i="19"/>
  <c r="S322" i="19" s="1"/>
  <c r="AC328" i="19"/>
  <c r="AE328" i="19" s="1"/>
  <c r="AC333" i="19"/>
  <c r="AE333" i="19" s="1"/>
  <c r="AC338" i="19"/>
  <c r="AE338" i="19" s="1"/>
  <c r="W353" i="19"/>
  <c r="Y353" i="19" s="1"/>
  <c r="T354" i="19"/>
  <c r="V354" i="19" s="1"/>
  <c r="E362" i="19"/>
  <c r="G362" i="19" s="1"/>
  <c r="AC289" i="19"/>
  <c r="AE289" i="19" s="1"/>
  <c r="H134" i="19"/>
  <c r="J134" i="19" s="1"/>
  <c r="AF134" i="19"/>
  <c r="AH134" i="19" s="1"/>
  <c r="T134" i="19"/>
  <c r="V134" i="19" s="1"/>
  <c r="Z134" i="19"/>
  <c r="AB134" i="19" s="1"/>
  <c r="E333" i="19"/>
  <c r="G333" i="19" s="1"/>
  <c r="E264" i="19"/>
  <c r="G264" i="19" s="1"/>
  <c r="E180" i="19"/>
  <c r="G180" i="19" s="1"/>
  <c r="E339" i="19"/>
  <c r="E166" i="19"/>
  <c r="G166" i="19" s="1"/>
  <c r="E239" i="19"/>
  <c r="G239" i="19" s="1"/>
  <c r="E352" i="19"/>
  <c r="G352" i="19" s="1"/>
  <c r="E298" i="19"/>
  <c r="G298" i="19" s="1"/>
  <c r="E89" i="19"/>
  <c r="G89" i="19" s="1"/>
  <c r="E249" i="19"/>
  <c r="G249" i="19" s="1"/>
  <c r="E328" i="19"/>
  <c r="G328" i="19" s="1"/>
  <c r="Q334" i="19"/>
  <c r="S334" i="19" s="1"/>
  <c r="W334" i="19"/>
  <c r="Y334" i="19" s="1"/>
  <c r="E305" i="19"/>
  <c r="G305" i="19" s="1"/>
  <c r="AC34" i="19"/>
  <c r="AE34" i="19" s="1"/>
  <c r="N73" i="19"/>
  <c r="P73" i="19" s="1"/>
  <c r="W99" i="19"/>
  <c r="Y99" i="19" s="1"/>
  <c r="E74" i="19"/>
  <c r="G74" i="19" s="1"/>
  <c r="E94" i="19"/>
  <c r="G94" i="19" s="1"/>
  <c r="AC99" i="19"/>
  <c r="AE99" i="19" s="1"/>
  <c r="E104" i="19"/>
  <c r="G104" i="19" s="1"/>
  <c r="E182" i="19"/>
  <c r="G182" i="19" s="1"/>
  <c r="E193" i="19"/>
  <c r="G193" i="19" s="1"/>
  <c r="Q200" i="19"/>
  <c r="S200" i="19" s="1"/>
  <c r="E224" i="19"/>
  <c r="G224" i="19" s="1"/>
  <c r="AC264" i="19"/>
  <c r="AE264" i="19" s="1"/>
  <c r="Q320" i="19"/>
  <c r="S320" i="19" s="1"/>
  <c r="W339" i="19"/>
  <c r="AC192" i="19"/>
  <c r="AE192" i="19" s="1"/>
  <c r="N320" i="19"/>
  <c r="P320" i="19" s="1"/>
  <c r="E34" i="19"/>
  <c r="G34" i="19" s="1"/>
  <c r="E84" i="19"/>
  <c r="G84" i="19" s="1"/>
  <c r="AC200" i="19"/>
  <c r="AE200" i="19" s="1"/>
  <c r="E320" i="19"/>
  <c r="G320" i="19" s="1"/>
  <c r="W320" i="19"/>
  <c r="Y320" i="19" s="1"/>
  <c r="Q53" i="19"/>
  <c r="S53" i="19" s="1"/>
  <c r="Q144" i="19"/>
  <c r="S144" i="19" s="1"/>
  <c r="W309" i="19"/>
  <c r="Y309" i="19" s="1"/>
  <c r="AC53" i="19"/>
  <c r="AE53" i="19" s="1"/>
  <c r="AE84" i="19"/>
  <c r="AC94" i="19"/>
  <c r="AE94" i="19" s="1"/>
  <c r="W182" i="19"/>
  <c r="Y182" i="19" s="1"/>
  <c r="Q196" i="19"/>
  <c r="S196" i="19" s="1"/>
  <c r="E53" i="19"/>
  <c r="G53" i="19" s="1"/>
  <c r="AC104" i="19"/>
  <c r="AE104" i="19" s="1"/>
  <c r="AC180" i="19"/>
  <c r="AE180" i="19" s="1"/>
  <c r="E223" i="19"/>
  <c r="G223" i="19" s="1"/>
  <c r="E246" i="19"/>
  <c r="G246" i="19" s="1"/>
  <c r="Q264" i="19"/>
  <c r="S264" i="19" s="1"/>
  <c r="W298" i="19"/>
  <c r="Y298" i="19" s="1"/>
  <c r="E309" i="19"/>
  <c r="G309" i="19" s="1"/>
  <c r="E325" i="19"/>
  <c r="G325" i="19" s="1"/>
  <c r="Q339" i="19"/>
  <c r="E343" i="19"/>
  <c r="G343" i="19" s="1"/>
  <c r="W54" i="19"/>
  <c r="Y54" i="19" s="1"/>
  <c r="N54" i="19"/>
  <c r="P54" i="19" s="1"/>
  <c r="N79" i="19"/>
  <c r="P79" i="19" s="1"/>
  <c r="W79" i="19"/>
  <c r="Y79" i="19" s="1"/>
  <c r="N97" i="19"/>
  <c r="P97" i="19" s="1"/>
  <c r="Q97" i="19"/>
  <c r="S97" i="19" s="1"/>
  <c r="W24" i="19"/>
  <c r="Y24" i="19" s="1"/>
  <c r="Q24" i="19"/>
  <c r="S24" i="19" s="1"/>
  <c r="N47" i="19"/>
  <c r="P47" i="19" s="1"/>
  <c r="Q47" i="19"/>
  <c r="S47" i="19" s="1"/>
  <c r="N78" i="19"/>
  <c r="P78" i="19" s="1"/>
  <c r="Q78" i="19"/>
  <c r="S78" i="19" s="1"/>
  <c r="N90" i="19"/>
  <c r="P90" i="19" s="1"/>
  <c r="Y90" i="19"/>
  <c r="N107" i="19"/>
  <c r="P107" i="19" s="1"/>
  <c r="Q107" i="19"/>
  <c r="S107" i="19" s="1"/>
  <c r="Q174" i="19"/>
  <c r="S174" i="19" s="1"/>
  <c r="N174" i="19"/>
  <c r="P174" i="19" s="1"/>
  <c r="N201" i="19"/>
  <c r="P201" i="19" s="1"/>
  <c r="W201" i="19"/>
  <c r="Y201" i="19" s="1"/>
  <c r="E201" i="19"/>
  <c r="G201" i="19" s="1"/>
  <c r="Q201" i="19"/>
  <c r="S201" i="19" s="1"/>
  <c r="N226" i="19"/>
  <c r="P226" i="19" s="1"/>
  <c r="E226" i="19"/>
  <c r="G226" i="19" s="1"/>
  <c r="W226" i="19"/>
  <c r="Y226" i="19" s="1"/>
  <c r="Q287" i="19"/>
  <c r="S287" i="19" s="1"/>
  <c r="N307" i="19"/>
  <c r="P307" i="19" s="1"/>
  <c r="W307" i="19"/>
  <c r="Y307" i="19" s="1"/>
  <c r="Q307" i="19"/>
  <c r="S307" i="19" s="1"/>
  <c r="N321" i="19"/>
  <c r="P321" i="19" s="1"/>
  <c r="E321" i="19"/>
  <c r="G321" i="19" s="1"/>
  <c r="W321" i="19"/>
  <c r="Y321" i="19" s="1"/>
  <c r="N332" i="19"/>
  <c r="P332" i="19" s="1"/>
  <c r="W332" i="19"/>
  <c r="Y332" i="19" s="1"/>
  <c r="Q332" i="19"/>
  <c r="S332" i="19" s="1"/>
  <c r="W362" i="19"/>
  <c r="N24" i="19"/>
  <c r="P24" i="19" s="1"/>
  <c r="N40" i="19"/>
  <c r="P40" i="19" s="1"/>
  <c r="AC40" i="19"/>
  <c r="AE40" i="19" s="1"/>
  <c r="N45" i="19"/>
  <c r="P45" i="19" s="1"/>
  <c r="AC45" i="19"/>
  <c r="AE45" i="19" s="1"/>
  <c r="AC47" i="19"/>
  <c r="AE47" i="19" s="1"/>
  <c r="N76" i="19"/>
  <c r="P76" i="19" s="1"/>
  <c r="Q76" i="19"/>
  <c r="S76" i="19" s="1"/>
  <c r="W78" i="19"/>
  <c r="Y78" i="19" s="1"/>
  <c r="N89" i="19"/>
  <c r="P89" i="19" s="1"/>
  <c r="Q89" i="19"/>
  <c r="S89" i="19" s="1"/>
  <c r="N100" i="19"/>
  <c r="P100" i="19" s="1"/>
  <c r="W100" i="19"/>
  <c r="Y100" i="19" s="1"/>
  <c r="W120" i="19"/>
  <c r="Y120" i="19" s="1"/>
  <c r="AC120" i="19"/>
  <c r="AE120" i="19" s="1"/>
  <c r="N145" i="19"/>
  <c r="P145" i="19" s="1"/>
  <c r="E145" i="19"/>
  <c r="G145" i="19" s="1"/>
  <c r="AC145" i="19"/>
  <c r="AE145" i="19" s="1"/>
  <c r="N151" i="19"/>
  <c r="P151" i="19" s="1"/>
  <c r="N194" i="19"/>
  <c r="P194" i="19" s="1"/>
  <c r="AC194" i="19"/>
  <c r="AE194" i="19" s="1"/>
  <c r="W194" i="19"/>
  <c r="Y194" i="19" s="1"/>
  <c r="E202" i="19"/>
  <c r="G202" i="19" s="1"/>
  <c r="W202" i="19"/>
  <c r="Y202" i="19" s="1"/>
  <c r="W217" i="19"/>
  <c r="Y217" i="19" s="1"/>
  <c r="AC221" i="19"/>
  <c r="AE221" i="19" s="1"/>
  <c r="Q221" i="19"/>
  <c r="S221" i="19" s="1"/>
  <c r="N276" i="19"/>
  <c r="P276" i="19" s="1"/>
  <c r="E276" i="19"/>
  <c r="G276" i="19" s="1"/>
  <c r="AC276" i="19"/>
  <c r="AE276" i="19" s="1"/>
  <c r="S295" i="19"/>
  <c r="Q321" i="19"/>
  <c r="S321" i="19" s="1"/>
  <c r="Q331" i="19"/>
  <c r="S331" i="19" s="1"/>
  <c r="AC331" i="19"/>
  <c r="AE331" i="19" s="1"/>
  <c r="E331" i="19"/>
  <c r="G331" i="19" s="1"/>
  <c r="W331" i="19"/>
  <c r="Y331" i="19" s="1"/>
  <c r="N361" i="19"/>
  <c r="P361" i="19" s="1"/>
  <c r="E361" i="19"/>
  <c r="G361" i="19" s="1"/>
  <c r="W361" i="19"/>
  <c r="AC14" i="19"/>
  <c r="AE14" i="19" s="1"/>
  <c r="N14" i="19"/>
  <c r="P14" i="19" s="1"/>
  <c r="Q40" i="19"/>
  <c r="S40" i="19" s="1"/>
  <c r="W74" i="19"/>
  <c r="Y74" i="19" s="1"/>
  <c r="N74" i="19"/>
  <c r="P74" i="19" s="1"/>
  <c r="AC78" i="19"/>
  <c r="AE78" i="19" s="1"/>
  <c r="N87" i="19"/>
  <c r="P87" i="19" s="1"/>
  <c r="S87" i="19"/>
  <c r="W89" i="19"/>
  <c r="Y89" i="19" s="1"/>
  <c r="N99" i="19"/>
  <c r="P99" i="19" s="1"/>
  <c r="Q99" i="19"/>
  <c r="S99" i="19" s="1"/>
  <c r="E110" i="19"/>
  <c r="G110" i="19" s="1"/>
  <c r="Q118" i="19"/>
  <c r="S118" i="19" s="1"/>
  <c r="Q120" i="19"/>
  <c r="S120" i="19" s="1"/>
  <c r="P144" i="19"/>
  <c r="E144" i="19"/>
  <c r="G144" i="19" s="1"/>
  <c r="Q145" i="19"/>
  <c r="S145" i="19" s="1"/>
  <c r="AC172" i="19"/>
  <c r="AE172" i="19" s="1"/>
  <c r="Q172" i="19"/>
  <c r="S172" i="19" s="1"/>
  <c r="AC177" i="19"/>
  <c r="AE177" i="19" s="1"/>
  <c r="N177" i="19"/>
  <c r="P177" i="19" s="1"/>
  <c r="Q202" i="19"/>
  <c r="S202" i="19" s="1"/>
  <c r="Q276" i="19"/>
  <c r="S276" i="19" s="1"/>
  <c r="N294" i="19"/>
  <c r="P294" i="19" s="1"/>
  <c r="AC294" i="19"/>
  <c r="AE294" i="19" s="1"/>
  <c r="E294" i="19"/>
  <c r="G294" i="19" s="1"/>
  <c r="W294" i="19"/>
  <c r="Y294" i="19" s="1"/>
  <c r="AC319" i="19"/>
  <c r="AE319" i="19" s="1"/>
  <c r="N322" i="19"/>
  <c r="P322" i="19" s="1"/>
  <c r="AC322" i="19"/>
  <c r="AE322" i="19" s="1"/>
  <c r="E322" i="19"/>
  <c r="G322" i="19" s="1"/>
  <c r="W322" i="19"/>
  <c r="Y322" i="19" s="1"/>
  <c r="N331" i="19"/>
  <c r="P331" i="19" s="1"/>
  <c r="Q361" i="19"/>
  <c r="S361" i="19" s="1"/>
  <c r="Q182" i="19"/>
  <c r="S182" i="19" s="1"/>
  <c r="Q193" i="19"/>
  <c r="S193" i="19" s="1"/>
  <c r="Q223" i="19"/>
  <c r="S223" i="19" s="1"/>
  <c r="AC239" i="19"/>
  <c r="AE239" i="19" s="1"/>
  <c r="Q325" i="19"/>
  <c r="S325" i="19" s="1"/>
  <c r="Y9" i="19"/>
  <c r="P9" i="19"/>
  <c r="AE26" i="19"/>
  <c r="N26" i="19"/>
  <c r="P26" i="19" s="1"/>
  <c r="N49" i="19"/>
  <c r="P49" i="19" s="1"/>
  <c r="E49" i="19"/>
  <c r="G49" i="19" s="1"/>
  <c r="AC49" i="19"/>
  <c r="AE49" i="19" s="1"/>
  <c r="N51" i="19"/>
  <c r="P51" i="19" s="1"/>
  <c r="AC51" i="19"/>
  <c r="AE51" i="19" s="1"/>
  <c r="Q51" i="19"/>
  <c r="S51" i="19" s="1"/>
  <c r="W61" i="19"/>
  <c r="Y61" i="19" s="1"/>
  <c r="N61" i="19"/>
  <c r="P61" i="19" s="1"/>
  <c r="N67" i="19"/>
  <c r="P67" i="19" s="1"/>
  <c r="AC67" i="19"/>
  <c r="AE67" i="19" s="1"/>
  <c r="E67" i="19"/>
  <c r="G67" i="19" s="1"/>
  <c r="N70" i="19"/>
  <c r="P70" i="19" s="1"/>
  <c r="AC70" i="19"/>
  <c r="AE70" i="19" s="1"/>
  <c r="E70" i="19"/>
  <c r="G70" i="19" s="1"/>
  <c r="N186" i="19"/>
  <c r="P186" i="19" s="1"/>
  <c r="W186" i="19"/>
  <c r="Y186" i="19" s="1"/>
  <c r="N216" i="19"/>
  <c r="P216" i="19" s="1"/>
  <c r="W216" i="19"/>
  <c r="Y216" i="19" s="1"/>
  <c r="E216" i="19"/>
  <c r="G216" i="19" s="1"/>
  <c r="S216" i="19"/>
  <c r="W7" i="19"/>
  <c r="Y7" i="19" s="1"/>
  <c r="AC7" i="19"/>
  <c r="AE7" i="19" s="1"/>
  <c r="E7" i="19"/>
  <c r="G7" i="19" s="1"/>
  <c r="Q7" i="19"/>
  <c r="S7" i="19" s="1"/>
  <c r="P31" i="19"/>
  <c r="AC31" i="19"/>
  <c r="AE31" i="19" s="1"/>
  <c r="Q31" i="19"/>
  <c r="S31" i="19" s="1"/>
  <c r="Q49" i="19"/>
  <c r="S49" i="19" s="1"/>
  <c r="P55" i="19"/>
  <c r="AC55" i="19"/>
  <c r="AE55" i="19" s="1"/>
  <c r="E55" i="19"/>
  <c r="G55" i="19" s="1"/>
  <c r="Q67" i="19"/>
  <c r="S67" i="19" s="1"/>
  <c r="Q70" i="19"/>
  <c r="S70" i="19" s="1"/>
  <c r="W72" i="19"/>
  <c r="Y72" i="19" s="1"/>
  <c r="Q72" i="19"/>
  <c r="S72" i="19" s="1"/>
  <c r="E72" i="19"/>
  <c r="G72" i="19" s="1"/>
  <c r="P72" i="19"/>
  <c r="AC72" i="19"/>
  <c r="AE72" i="19" s="1"/>
  <c r="W154" i="19"/>
  <c r="Y154" i="19" s="1"/>
  <c r="N154" i="19"/>
  <c r="P154" i="19" s="1"/>
  <c r="E154" i="19"/>
  <c r="G154" i="19" s="1"/>
  <c r="AC154" i="19"/>
  <c r="AE154" i="19" s="1"/>
  <c r="Q154" i="19"/>
  <c r="S154" i="19" s="1"/>
  <c r="W222" i="19"/>
  <c r="Y222" i="19" s="1"/>
  <c r="N222" i="19"/>
  <c r="P222" i="19" s="1"/>
  <c r="AC222" i="19"/>
  <c r="AE222" i="19" s="1"/>
  <c r="Q222" i="19"/>
  <c r="S222" i="19" s="1"/>
  <c r="Q306" i="19"/>
  <c r="S306" i="19" s="1"/>
  <c r="AC306" i="19"/>
  <c r="AE306" i="19" s="1"/>
  <c r="E306" i="19"/>
  <c r="G306" i="19" s="1"/>
  <c r="W306" i="19"/>
  <c r="Y306" i="19" s="1"/>
  <c r="N306" i="19"/>
  <c r="P306" i="19" s="1"/>
  <c r="Q318" i="19"/>
  <c r="S318" i="19" s="1"/>
  <c r="N318" i="19"/>
  <c r="P318" i="19" s="1"/>
  <c r="Q355" i="19"/>
  <c r="S355" i="19" s="1"/>
  <c r="E355" i="19"/>
  <c r="G355" i="19" s="1"/>
  <c r="W355" i="19"/>
  <c r="Y355" i="19" s="1"/>
  <c r="N7" i="19"/>
  <c r="P7" i="19" s="1"/>
  <c r="W10" i="19"/>
  <c r="Y10" i="19" s="1"/>
  <c r="Q10" i="19"/>
  <c r="S10" i="19" s="1"/>
  <c r="N10" i="19"/>
  <c r="P10" i="19" s="1"/>
  <c r="W13" i="19"/>
  <c r="Y13" i="19" s="1"/>
  <c r="S13" i="19"/>
  <c r="E13" i="19"/>
  <c r="G13" i="19" s="1"/>
  <c r="N13" i="19"/>
  <c r="P13" i="19" s="1"/>
  <c r="W28" i="19"/>
  <c r="Y28" i="19" s="1"/>
  <c r="Q55" i="19"/>
  <c r="S55" i="19" s="1"/>
  <c r="N62" i="19"/>
  <c r="P62" i="19" s="1"/>
  <c r="E62" i="19"/>
  <c r="G62" i="19" s="1"/>
  <c r="Q62" i="19"/>
  <c r="S62" i="19" s="1"/>
  <c r="N198" i="19"/>
  <c r="P198" i="19" s="1"/>
  <c r="W198" i="19"/>
  <c r="Y198" i="19" s="1"/>
  <c r="N323" i="19"/>
  <c r="P323" i="19" s="1"/>
  <c r="W323" i="19"/>
  <c r="Y323" i="19" s="1"/>
  <c r="E323" i="19"/>
  <c r="G323" i="19" s="1"/>
  <c r="Q323" i="19"/>
  <c r="S323" i="19" s="1"/>
  <c r="AC10" i="19"/>
  <c r="AE10" i="19" s="1"/>
  <c r="N36" i="19"/>
  <c r="P36" i="19" s="1"/>
  <c r="E36" i="19"/>
  <c r="G36" i="19" s="1"/>
  <c r="AC36" i="19"/>
  <c r="AE36" i="19" s="1"/>
  <c r="N38" i="19"/>
  <c r="P38" i="19" s="1"/>
  <c r="AC38" i="19"/>
  <c r="AE38" i="19" s="1"/>
  <c r="Q38" i="19"/>
  <c r="S38" i="19" s="1"/>
  <c r="N43" i="19"/>
  <c r="P43" i="19" s="1"/>
  <c r="E43" i="19"/>
  <c r="G43" i="19" s="1"/>
  <c r="AC43" i="19"/>
  <c r="AE43" i="19" s="1"/>
  <c r="E51" i="19"/>
  <c r="G51" i="19" s="1"/>
  <c r="AC62" i="19"/>
  <c r="AE62" i="19" s="1"/>
  <c r="W68" i="19"/>
  <c r="Y68" i="19" s="1"/>
  <c r="N68" i="19"/>
  <c r="P68" i="19" s="1"/>
  <c r="W71" i="19"/>
  <c r="Y71" i="19" s="1"/>
  <c r="N71" i="19"/>
  <c r="P71" i="19" s="1"/>
  <c r="W157" i="19"/>
  <c r="Y157" i="19" s="1"/>
  <c r="AC157" i="19"/>
  <c r="AE157" i="19" s="1"/>
  <c r="E157" i="19"/>
  <c r="G157" i="19" s="1"/>
  <c r="Q157" i="19"/>
  <c r="S157" i="19" s="1"/>
  <c r="N157" i="19"/>
  <c r="P157" i="19" s="1"/>
  <c r="N214" i="19"/>
  <c r="P214" i="19" s="1"/>
  <c r="AC214" i="19"/>
  <c r="AE214" i="19" s="1"/>
  <c r="E214" i="19"/>
  <c r="G214" i="19" s="1"/>
  <c r="W214" i="19"/>
  <c r="Y214" i="19" s="1"/>
  <c r="Q214" i="19"/>
  <c r="S214" i="19" s="1"/>
  <c r="W345" i="19"/>
  <c r="Y345" i="19" s="1"/>
  <c r="N345" i="19"/>
  <c r="P345" i="19" s="1"/>
  <c r="AC345" i="19"/>
  <c r="AE345" i="19" s="1"/>
  <c r="E345" i="19"/>
  <c r="G345" i="19" s="1"/>
  <c r="Q345" i="19"/>
  <c r="S345" i="19" s="1"/>
  <c r="W159" i="19"/>
  <c r="Y159" i="19" s="1"/>
  <c r="N159" i="19"/>
  <c r="P159" i="19" s="1"/>
  <c r="W162" i="19"/>
  <c r="Y162" i="19" s="1"/>
  <c r="AC162" i="19"/>
  <c r="AE162" i="19" s="1"/>
  <c r="E162" i="19"/>
  <c r="G162" i="19" s="1"/>
  <c r="W211" i="19"/>
  <c r="Y211" i="19" s="1"/>
  <c r="Q211" i="19"/>
  <c r="S211" i="19" s="1"/>
  <c r="N213" i="19"/>
  <c r="P213" i="19" s="1"/>
  <c r="Q213" i="19"/>
  <c r="S213" i="19" s="1"/>
  <c r="N262" i="19"/>
  <c r="P262" i="19" s="1"/>
  <c r="Q262" i="19"/>
  <c r="S262" i="19" s="1"/>
  <c r="P268" i="19"/>
  <c r="E268" i="19"/>
  <c r="G268" i="19" s="1"/>
  <c r="N297" i="19"/>
  <c r="P297" i="19" s="1"/>
  <c r="E297" i="19"/>
  <c r="G297" i="19" s="1"/>
  <c r="W338" i="19"/>
  <c r="Y338" i="19" s="1"/>
  <c r="E338" i="19"/>
  <c r="G338" i="19" s="1"/>
  <c r="W75" i="19"/>
  <c r="Y75" i="19" s="1"/>
  <c r="Q80" i="19"/>
  <c r="S80" i="19" s="1"/>
  <c r="Q84" i="19"/>
  <c r="S84" i="19" s="1"/>
  <c r="W85" i="19"/>
  <c r="Y85" i="19" s="1"/>
  <c r="Q91" i="19"/>
  <c r="S91" i="19" s="1"/>
  <c r="Q94" i="19"/>
  <c r="S94" i="19" s="1"/>
  <c r="W95" i="19"/>
  <c r="Y95" i="19" s="1"/>
  <c r="Q101" i="19"/>
  <c r="S101" i="19" s="1"/>
  <c r="Q104" i="19"/>
  <c r="S104" i="19" s="1"/>
  <c r="Y106" i="19"/>
  <c r="W112" i="19"/>
  <c r="Y112" i="19" s="1"/>
  <c r="Q159" i="19"/>
  <c r="S159" i="19" s="1"/>
  <c r="N162" i="19"/>
  <c r="P162" i="19" s="1"/>
  <c r="W166" i="19"/>
  <c r="Y166" i="19" s="1"/>
  <c r="N166" i="19"/>
  <c r="P166" i="19" s="1"/>
  <c r="W169" i="19"/>
  <c r="Y169" i="19" s="1"/>
  <c r="AC169" i="19"/>
  <c r="AE169" i="19" s="1"/>
  <c r="E169" i="19"/>
  <c r="G169" i="19" s="1"/>
  <c r="N180" i="19"/>
  <c r="P180" i="19" s="1"/>
  <c r="Q184" i="19"/>
  <c r="S184" i="19" s="1"/>
  <c r="E184" i="19"/>
  <c r="G184" i="19" s="1"/>
  <c r="Q204" i="19"/>
  <c r="S204" i="19" s="1"/>
  <c r="W204" i="19"/>
  <c r="Y204" i="19" s="1"/>
  <c r="P211" i="19"/>
  <c r="AC219" i="19"/>
  <c r="AE219" i="19" s="1"/>
  <c r="W233" i="19"/>
  <c r="Y233" i="19" s="1"/>
  <c r="P233" i="19"/>
  <c r="N234" i="19"/>
  <c r="P234" i="19" s="1"/>
  <c r="W234" i="19"/>
  <c r="Y234" i="19" s="1"/>
  <c r="AC235" i="19"/>
  <c r="AE235" i="19" s="1"/>
  <c r="W235" i="19"/>
  <c r="Y235" i="19" s="1"/>
  <c r="P237" i="19"/>
  <c r="W237" i="19"/>
  <c r="Y237" i="19" s="1"/>
  <c r="Q246" i="19"/>
  <c r="S246" i="19" s="1"/>
  <c r="N249" i="19"/>
  <c r="P249" i="19" s="1"/>
  <c r="S249" i="19"/>
  <c r="AC262" i="19"/>
  <c r="AE262" i="19" s="1"/>
  <c r="Q268" i="19"/>
  <c r="S268" i="19" s="1"/>
  <c r="N271" i="19"/>
  <c r="P271" i="19" s="1"/>
  <c r="AE271" i="19"/>
  <c r="N274" i="19"/>
  <c r="P274" i="19" s="1"/>
  <c r="Q274" i="19"/>
  <c r="S274" i="19" s="1"/>
  <c r="N279" i="19"/>
  <c r="P279" i="19" s="1"/>
  <c r="E279" i="19"/>
  <c r="G279" i="19" s="1"/>
  <c r="AC296" i="19"/>
  <c r="AE296" i="19" s="1"/>
  <c r="E296" i="19"/>
  <c r="G296" i="19" s="1"/>
  <c r="W297" i="19"/>
  <c r="Y297" i="19" s="1"/>
  <c r="Q303" i="19"/>
  <c r="S303" i="19" s="1"/>
  <c r="N333" i="19"/>
  <c r="P333" i="19" s="1"/>
  <c r="N338" i="19"/>
  <c r="P338" i="19" s="1"/>
  <c r="Y343" i="19"/>
  <c r="N343" i="19"/>
  <c r="P343" i="19" s="1"/>
  <c r="W352" i="19"/>
  <c r="Y352" i="19" s="1"/>
  <c r="N352" i="19"/>
  <c r="P352" i="19" s="1"/>
  <c r="AC24" i="19"/>
  <c r="AE24" i="19" s="1"/>
  <c r="Q34" i="19"/>
  <c r="S34" i="19" s="1"/>
  <c r="Q45" i="19"/>
  <c r="S45" i="19" s="1"/>
  <c r="AC74" i="19"/>
  <c r="AE74" i="19" s="1"/>
  <c r="W84" i="19"/>
  <c r="Y84" i="19" s="1"/>
  <c r="W94" i="19"/>
  <c r="Y94" i="19" s="1"/>
  <c r="W104" i="19"/>
  <c r="Y104" i="19" s="1"/>
  <c r="N110" i="19"/>
  <c r="P110" i="19" s="1"/>
  <c r="Q110" i="19"/>
  <c r="S110" i="19" s="1"/>
  <c r="W151" i="19"/>
  <c r="Y151" i="19" s="1"/>
  <c r="AC151" i="19"/>
  <c r="AE151" i="19" s="1"/>
  <c r="E151" i="19"/>
  <c r="G151" i="19" s="1"/>
  <c r="AC159" i="19"/>
  <c r="AE159" i="19" s="1"/>
  <c r="Q162" i="19"/>
  <c r="S162" i="19" s="1"/>
  <c r="Q166" i="19"/>
  <c r="S166" i="19" s="1"/>
  <c r="N169" i="19"/>
  <c r="P169" i="19" s="1"/>
  <c r="W172" i="19"/>
  <c r="Y172" i="19" s="1"/>
  <c r="N172" i="19"/>
  <c r="P172" i="19" s="1"/>
  <c r="W174" i="19"/>
  <c r="Y174" i="19" s="1"/>
  <c r="AC174" i="19"/>
  <c r="AE174" i="19" s="1"/>
  <c r="E174" i="19"/>
  <c r="G174" i="19" s="1"/>
  <c r="W177" i="19"/>
  <c r="Y177" i="19" s="1"/>
  <c r="Q177" i="19"/>
  <c r="S177" i="19" s="1"/>
  <c r="N178" i="19"/>
  <c r="P178" i="19" s="1"/>
  <c r="Q178" i="19"/>
  <c r="S178" i="19" s="1"/>
  <c r="W180" i="19"/>
  <c r="Y180" i="19" s="1"/>
  <c r="W184" i="19"/>
  <c r="Y184" i="19" s="1"/>
  <c r="Y192" i="19"/>
  <c r="N192" i="19"/>
  <c r="P192" i="19" s="1"/>
  <c r="Q194" i="19"/>
  <c r="S194" i="19" s="1"/>
  <c r="N196" i="19"/>
  <c r="P196" i="19" s="1"/>
  <c r="E196" i="19"/>
  <c r="G196" i="19" s="1"/>
  <c r="Q197" i="19"/>
  <c r="S197" i="19" s="1"/>
  <c r="W197" i="19"/>
  <c r="Y197" i="19" s="1"/>
  <c r="W200" i="19"/>
  <c r="Y200" i="19" s="1"/>
  <c r="E200" i="19"/>
  <c r="G200" i="19" s="1"/>
  <c r="N204" i="19"/>
  <c r="P204" i="19" s="1"/>
  <c r="AC211" i="19"/>
  <c r="AE211" i="19" s="1"/>
  <c r="AC224" i="19"/>
  <c r="AE224" i="19" s="1"/>
  <c r="Q224" i="19"/>
  <c r="S224" i="19" s="1"/>
  <c r="S233" i="19"/>
  <c r="Q234" i="19"/>
  <c r="S234" i="19" s="1"/>
  <c r="Q235" i="19"/>
  <c r="S235" i="19" s="1"/>
  <c r="Q239" i="19"/>
  <c r="S239" i="19" s="1"/>
  <c r="AC246" i="19"/>
  <c r="AE246" i="19" s="1"/>
  <c r="AC268" i="19"/>
  <c r="AE268" i="19" s="1"/>
  <c r="Q271" i="19"/>
  <c r="S271" i="19" s="1"/>
  <c r="AC274" i="19"/>
  <c r="AE274" i="19" s="1"/>
  <c r="Q279" i="19"/>
  <c r="S279" i="19" s="1"/>
  <c r="N287" i="19"/>
  <c r="P287" i="19" s="1"/>
  <c r="AC287" i="19"/>
  <c r="AE287" i="19" s="1"/>
  <c r="N295" i="19"/>
  <c r="P295" i="19" s="1"/>
  <c r="E295" i="19"/>
  <c r="G295" i="19" s="1"/>
  <c r="Q296" i="19"/>
  <c r="S296" i="19" s="1"/>
  <c r="W300" i="19"/>
  <c r="Y300" i="19" s="1"/>
  <c r="W303" i="19"/>
  <c r="Y303" i="19" s="1"/>
  <c r="W316" i="19"/>
  <c r="Y316" i="19" s="1"/>
  <c r="Q338" i="19"/>
  <c r="S338" i="19" s="1"/>
  <c r="Q343" i="19"/>
  <c r="S343" i="19" s="1"/>
  <c r="Q352" i="19"/>
  <c r="S352" i="19" s="1"/>
  <c r="W304" i="19"/>
  <c r="Y304" i="19" s="1"/>
  <c r="E304" i="19"/>
  <c r="G304" i="19" s="1"/>
  <c r="AC304" i="19"/>
  <c r="AE304" i="19" s="1"/>
  <c r="AC315" i="19"/>
  <c r="AE315" i="19" s="1"/>
  <c r="W336" i="19"/>
  <c r="Y336" i="19" s="1"/>
  <c r="E336" i="19"/>
  <c r="G336" i="19" s="1"/>
  <c r="AC300" i="19"/>
  <c r="AE300" i="19" s="1"/>
  <c r="N301" i="19"/>
  <c r="P301" i="19" s="1"/>
  <c r="AC301" i="19"/>
  <c r="AE301" i="19" s="1"/>
  <c r="N304" i="19"/>
  <c r="P304" i="19" s="1"/>
  <c r="AC308" i="19"/>
  <c r="AE308" i="19" s="1"/>
  <c r="N308" i="19"/>
  <c r="P308" i="19" s="1"/>
  <c r="N315" i="19"/>
  <c r="P315" i="19" s="1"/>
  <c r="N319" i="19"/>
  <c r="P319" i="19" s="1"/>
  <c r="W319" i="19"/>
  <c r="Y319" i="19" s="1"/>
  <c r="N326" i="19"/>
  <c r="P326" i="19" s="1"/>
  <c r="Q326" i="19"/>
  <c r="S326" i="19" s="1"/>
  <c r="W326" i="19"/>
  <c r="Y326" i="19" s="1"/>
  <c r="E326" i="19"/>
  <c r="G326" i="19" s="1"/>
  <c r="Q328" i="19"/>
  <c r="S328" i="19" s="1"/>
  <c r="N328" i="19"/>
  <c r="P328" i="19" s="1"/>
  <c r="N329" i="19"/>
  <c r="P329" i="19" s="1"/>
  <c r="E329" i="19"/>
  <c r="G329" i="19" s="1"/>
  <c r="AC329" i="19"/>
  <c r="AE329" i="19" s="1"/>
  <c r="W330" i="19"/>
  <c r="Y330" i="19" s="1"/>
  <c r="E330" i="19"/>
  <c r="G330" i="19" s="1"/>
  <c r="Q330" i="19"/>
  <c r="S330" i="19" s="1"/>
  <c r="N336" i="19"/>
  <c r="P336" i="19" s="1"/>
  <c r="N337" i="19"/>
  <c r="P337" i="19" s="1"/>
  <c r="W337" i="19"/>
  <c r="Y337" i="19" s="1"/>
  <c r="Q337" i="19"/>
  <c r="S337" i="19" s="1"/>
  <c r="AC344" i="19"/>
  <c r="AE344" i="19" s="1"/>
  <c r="Q344" i="19"/>
  <c r="S344" i="19" s="1"/>
  <c r="E344" i="19"/>
  <c r="G344" i="19" s="1"/>
  <c r="N344" i="19"/>
  <c r="P344" i="19" s="1"/>
  <c r="AC297" i="19"/>
  <c r="AE297" i="19" s="1"/>
  <c r="N298" i="19"/>
  <c r="P298" i="19" s="1"/>
  <c r="AC298" i="19"/>
  <c r="AE298" i="19" s="1"/>
  <c r="Q300" i="19"/>
  <c r="S300" i="19" s="1"/>
  <c r="Q301" i="19"/>
  <c r="S301" i="19" s="1"/>
  <c r="Q304" i="19"/>
  <c r="S304" i="19" s="1"/>
  <c r="N305" i="19"/>
  <c r="P305" i="19" s="1"/>
  <c r="W305" i="19"/>
  <c r="Y305" i="19" s="1"/>
  <c r="Q308" i="19"/>
  <c r="S308" i="19" s="1"/>
  <c r="W315" i="19"/>
  <c r="Y315" i="19" s="1"/>
  <c r="N316" i="19"/>
  <c r="P316" i="19" s="1"/>
  <c r="E316" i="19"/>
  <c r="G316" i="19" s="1"/>
  <c r="Q319" i="19"/>
  <c r="S319" i="19" s="1"/>
  <c r="W328" i="19"/>
  <c r="Y328" i="19" s="1"/>
  <c r="Q329" i="19"/>
  <c r="S329" i="19" s="1"/>
  <c r="N330" i="19"/>
  <c r="P330" i="19" s="1"/>
  <c r="Q336" i="19"/>
  <c r="S336" i="19" s="1"/>
  <c r="AC340" i="19"/>
  <c r="AE340" i="19" s="1"/>
  <c r="N340" i="19"/>
  <c r="P340" i="19" s="1"/>
  <c r="W340" i="19"/>
  <c r="Y340" i="19" s="1"/>
  <c r="W344" i="19"/>
  <c r="Y344" i="19" s="1"/>
  <c r="AC295" i="19"/>
  <c r="AE295" i="19" s="1"/>
  <c r="N296" i="19"/>
  <c r="P296" i="19" s="1"/>
  <c r="Q297" i="19"/>
  <c r="S297" i="19" s="1"/>
  <c r="E300" i="19"/>
  <c r="G300" i="19" s="1"/>
  <c r="E301" i="19"/>
  <c r="G301" i="19" s="1"/>
  <c r="N303" i="19"/>
  <c r="P303" i="19" s="1"/>
  <c r="E303" i="19"/>
  <c r="G303" i="19" s="1"/>
  <c r="Q305" i="19"/>
  <c r="S305" i="19" s="1"/>
  <c r="W308" i="19"/>
  <c r="Y308" i="19" s="1"/>
  <c r="N309" i="19"/>
  <c r="P309" i="19" s="1"/>
  <c r="Q309" i="19"/>
  <c r="S309" i="19" s="1"/>
  <c r="E315" i="19"/>
  <c r="G315" i="19" s="1"/>
  <c r="Q316" i="19"/>
  <c r="S316" i="19" s="1"/>
  <c r="W318" i="19"/>
  <c r="Y318" i="19" s="1"/>
  <c r="E318" i="19"/>
  <c r="G318" i="19" s="1"/>
  <c r="AC318" i="19"/>
  <c r="AE318" i="19" s="1"/>
  <c r="AC326" i="19"/>
  <c r="AE326" i="19" s="1"/>
  <c r="W329" i="19"/>
  <c r="Y329" i="19" s="1"/>
  <c r="Q333" i="19"/>
  <c r="S333" i="19" s="1"/>
  <c r="W333" i="19"/>
  <c r="Y333" i="19" s="1"/>
  <c r="AC336" i="19"/>
  <c r="AE336" i="19" s="1"/>
  <c r="AC337" i="19"/>
  <c r="AE337" i="19" s="1"/>
  <c r="Q340" i="19"/>
  <c r="S340" i="19" s="1"/>
  <c r="AC346" i="19"/>
  <c r="AE346" i="19" s="1"/>
  <c r="Q346" i="19"/>
  <c r="S346" i="19" s="1"/>
  <c r="E346" i="19"/>
  <c r="G346" i="19" s="1"/>
  <c r="N346" i="19"/>
  <c r="P346" i="19" s="1"/>
  <c r="W346" i="19"/>
  <c r="Y346" i="19" s="1"/>
  <c r="AC353" i="19"/>
  <c r="AE353" i="19" s="1"/>
  <c r="Q353" i="19"/>
  <c r="S353" i="19" s="1"/>
  <c r="E353" i="19"/>
  <c r="G353" i="19" s="1"/>
  <c r="N353" i="19"/>
  <c r="P353" i="19" s="1"/>
  <c r="AC355" i="19"/>
  <c r="AE355" i="19" s="1"/>
  <c r="AC362" i="19"/>
  <c r="AE362" i="19" s="1"/>
  <c r="N362" i="19"/>
  <c r="P362" i="19" s="1"/>
  <c r="AC307" i="19"/>
  <c r="AE307" i="19" s="1"/>
  <c r="AC321" i="19"/>
  <c r="AE321" i="19" s="1"/>
  <c r="AC325" i="19"/>
  <c r="AE325" i="19" s="1"/>
  <c r="N325" i="19"/>
  <c r="P325" i="19" s="1"/>
  <c r="N334" i="19"/>
  <c r="P334" i="19" s="1"/>
  <c r="E334" i="19"/>
  <c r="G334" i="19" s="1"/>
  <c r="N355" i="19"/>
  <c r="P355" i="19" s="1"/>
  <c r="Q362" i="19"/>
  <c r="S362" i="19" s="1"/>
  <c r="AC323" i="19"/>
  <c r="AE323" i="19" s="1"/>
  <c r="AC332" i="19"/>
  <c r="AE332" i="19" s="1"/>
  <c r="AC339" i="19"/>
  <c r="AC361" i="19"/>
  <c r="AE361" i="19" s="1"/>
  <c r="W263" i="19"/>
  <c r="Y263" i="19" s="1"/>
  <c r="W273" i="19"/>
  <c r="Y273" i="19" s="1"/>
  <c r="W280" i="19"/>
  <c r="Y280" i="19" s="1"/>
  <c r="W289" i="19"/>
  <c r="Y289" i="19" s="1"/>
  <c r="W256" i="19"/>
  <c r="Y256" i="19" s="1"/>
  <c r="N263" i="19"/>
  <c r="P263" i="19" s="1"/>
  <c r="N266" i="19"/>
  <c r="P266" i="19" s="1"/>
  <c r="N270" i="19"/>
  <c r="P270" i="19" s="1"/>
  <c r="N273" i="19"/>
  <c r="P273" i="19" s="1"/>
  <c r="N275" i="19"/>
  <c r="P275" i="19" s="1"/>
  <c r="N280" i="19"/>
  <c r="P280" i="19" s="1"/>
  <c r="N289" i="19"/>
  <c r="P289" i="19" s="1"/>
  <c r="N256" i="19"/>
  <c r="P256" i="19" s="1"/>
  <c r="W264" i="19"/>
  <c r="Y264" i="19" s="1"/>
  <c r="E266" i="19"/>
  <c r="G266" i="19" s="1"/>
  <c r="Q266" i="19"/>
  <c r="S266" i="19" s="1"/>
  <c r="AC266" i="19"/>
  <c r="AE266" i="19" s="1"/>
  <c r="W268" i="19"/>
  <c r="Y268" i="19" s="1"/>
  <c r="E270" i="19"/>
  <c r="G270" i="19" s="1"/>
  <c r="Q270" i="19"/>
  <c r="S270" i="19" s="1"/>
  <c r="AC270" i="19"/>
  <c r="AE270" i="19" s="1"/>
  <c r="W271" i="19"/>
  <c r="Y271" i="19" s="1"/>
  <c r="E273" i="19"/>
  <c r="G273" i="19" s="1"/>
  <c r="Q273" i="19"/>
  <c r="S273" i="19" s="1"/>
  <c r="W274" i="19"/>
  <c r="Y274" i="19" s="1"/>
  <c r="E275" i="19"/>
  <c r="G275" i="19" s="1"/>
  <c r="Q275" i="19"/>
  <c r="S275" i="19" s="1"/>
  <c r="W276" i="19"/>
  <c r="Y276" i="19" s="1"/>
  <c r="E277" i="19"/>
  <c r="G277" i="19" s="1"/>
  <c r="Q277" i="19"/>
  <c r="S277" i="19" s="1"/>
  <c r="AC277" i="19"/>
  <c r="AE277" i="19" s="1"/>
  <c r="W279" i="19"/>
  <c r="Y279" i="19" s="1"/>
  <c r="E280" i="19"/>
  <c r="G280" i="19" s="1"/>
  <c r="Q280" i="19"/>
  <c r="S280" i="19" s="1"/>
  <c r="W287" i="19"/>
  <c r="Y287" i="19" s="1"/>
  <c r="E289" i="19"/>
  <c r="G289" i="19" s="1"/>
  <c r="Q289" i="19"/>
  <c r="S289" i="19" s="1"/>
  <c r="W275" i="19"/>
  <c r="Y275" i="19" s="1"/>
  <c r="W277" i="19"/>
  <c r="Y277" i="19" s="1"/>
  <c r="W262" i="19"/>
  <c r="Y262" i="19" s="1"/>
  <c r="E263" i="19"/>
  <c r="G263" i="19" s="1"/>
  <c r="Q263" i="19"/>
  <c r="S263" i="19" s="1"/>
  <c r="E256" i="19"/>
  <c r="G256" i="19" s="1"/>
  <c r="Q256" i="19"/>
  <c r="S256" i="19" s="1"/>
  <c r="AC175" i="19"/>
  <c r="AE175" i="19" s="1"/>
  <c r="AC190" i="19"/>
  <c r="AE190" i="19" s="1"/>
  <c r="P205" i="19"/>
  <c r="E205" i="19"/>
  <c r="G205" i="19" s="1"/>
  <c r="N231" i="19"/>
  <c r="P231" i="19" s="1"/>
  <c r="W231" i="19"/>
  <c r="Y231" i="19" s="1"/>
  <c r="E231" i="19"/>
  <c r="G231" i="19" s="1"/>
  <c r="Y150" i="19"/>
  <c r="W153" i="19"/>
  <c r="Y153" i="19" s="1"/>
  <c r="W155" i="19"/>
  <c r="Y155" i="19" s="1"/>
  <c r="W158" i="19"/>
  <c r="Y158" i="19" s="1"/>
  <c r="W164" i="19"/>
  <c r="Y164" i="19" s="1"/>
  <c r="W167" i="19"/>
  <c r="Y167" i="19" s="1"/>
  <c r="W173" i="19"/>
  <c r="Y173" i="19" s="1"/>
  <c r="AC186" i="19"/>
  <c r="AE186" i="19" s="1"/>
  <c r="N188" i="19"/>
  <c r="P188" i="19" s="1"/>
  <c r="AC188" i="19"/>
  <c r="AE188" i="19" s="1"/>
  <c r="Q190" i="19"/>
  <c r="S190" i="19" s="1"/>
  <c r="AC198" i="19"/>
  <c r="AE198" i="19" s="1"/>
  <c r="N203" i="19"/>
  <c r="P203" i="19" s="1"/>
  <c r="Q203" i="19"/>
  <c r="S203" i="19" s="1"/>
  <c r="Q205" i="19"/>
  <c r="S205" i="19" s="1"/>
  <c r="Q227" i="19"/>
  <c r="S227" i="19" s="1"/>
  <c r="AC227" i="19"/>
  <c r="AE227" i="19" s="1"/>
  <c r="N227" i="19"/>
  <c r="P227" i="19" s="1"/>
  <c r="N228" i="19"/>
  <c r="P228" i="19" s="1"/>
  <c r="E228" i="19"/>
  <c r="G228" i="19" s="1"/>
  <c r="Q228" i="19"/>
  <c r="S228" i="19" s="1"/>
  <c r="Q231" i="19"/>
  <c r="S231" i="19" s="1"/>
  <c r="Q238" i="19"/>
  <c r="S238" i="19" s="1"/>
  <c r="AC238" i="19"/>
  <c r="AE238" i="19" s="1"/>
  <c r="N238" i="19"/>
  <c r="P238" i="19" s="1"/>
  <c r="N150" i="19"/>
  <c r="P150" i="19" s="1"/>
  <c r="N153" i="19"/>
  <c r="P153" i="19" s="1"/>
  <c r="N155" i="19"/>
  <c r="P155" i="19" s="1"/>
  <c r="N158" i="19"/>
  <c r="P158" i="19" s="1"/>
  <c r="N161" i="19"/>
  <c r="P161" i="19" s="1"/>
  <c r="N164" i="19"/>
  <c r="P164" i="19" s="1"/>
  <c r="N167" i="19"/>
  <c r="P167" i="19" s="1"/>
  <c r="N171" i="19"/>
  <c r="P171" i="19" s="1"/>
  <c r="N173" i="19"/>
  <c r="P173" i="19" s="1"/>
  <c r="E175" i="19"/>
  <c r="G175" i="19" s="1"/>
  <c r="E177" i="19"/>
  <c r="G177" i="19" s="1"/>
  <c r="W178" i="19"/>
  <c r="Y178" i="19" s="1"/>
  <c r="AC182" i="19"/>
  <c r="AE182" i="19" s="1"/>
  <c r="N184" i="19"/>
  <c r="P184" i="19" s="1"/>
  <c r="AC184" i="19"/>
  <c r="AE184" i="19" s="1"/>
  <c r="Q186" i="19"/>
  <c r="S186" i="19" s="1"/>
  <c r="Q188" i="19"/>
  <c r="S188" i="19" s="1"/>
  <c r="E190" i="19"/>
  <c r="G190" i="19" s="1"/>
  <c r="E192" i="19"/>
  <c r="G192" i="19" s="1"/>
  <c r="W193" i="19"/>
  <c r="Y193" i="19" s="1"/>
  <c r="AC196" i="19"/>
  <c r="AE196" i="19" s="1"/>
  <c r="N197" i="19"/>
  <c r="P197" i="19" s="1"/>
  <c r="AC197" i="19"/>
  <c r="AE197" i="19" s="1"/>
  <c r="Q198" i="19"/>
  <c r="S198" i="19" s="1"/>
  <c r="AE204" i="19"/>
  <c r="W205" i="19"/>
  <c r="Y205" i="19" s="1"/>
  <c r="W220" i="19"/>
  <c r="Y220" i="19" s="1"/>
  <c r="E220" i="19"/>
  <c r="G220" i="19" s="1"/>
  <c r="Q220" i="19"/>
  <c r="S220" i="19" s="1"/>
  <c r="N221" i="19"/>
  <c r="P221" i="19" s="1"/>
  <c r="W221" i="19"/>
  <c r="Y221" i="19" s="1"/>
  <c r="E221" i="19"/>
  <c r="G221" i="19" s="1"/>
  <c r="W227" i="19"/>
  <c r="Y227" i="19" s="1"/>
  <c r="W228" i="19"/>
  <c r="Y228" i="19" s="1"/>
  <c r="AC231" i="19"/>
  <c r="AE231" i="19" s="1"/>
  <c r="W238" i="19"/>
  <c r="Y238" i="19" s="1"/>
  <c r="AC251" i="19"/>
  <c r="AE251" i="19" s="1"/>
  <c r="Q251" i="19"/>
  <c r="S251" i="19" s="1"/>
  <c r="E251" i="19"/>
  <c r="G251" i="19" s="1"/>
  <c r="W251" i="19"/>
  <c r="Y251" i="19" s="1"/>
  <c r="N199" i="19"/>
  <c r="P199" i="19" s="1"/>
  <c r="W199" i="19"/>
  <c r="Y199" i="19" s="1"/>
  <c r="W230" i="19"/>
  <c r="Y230" i="19" s="1"/>
  <c r="E230" i="19"/>
  <c r="G230" i="19" s="1"/>
  <c r="Q230" i="19"/>
  <c r="S230" i="19" s="1"/>
  <c r="W161" i="19"/>
  <c r="Y161" i="19" s="1"/>
  <c r="W171" i="19"/>
  <c r="Y171" i="19" s="1"/>
  <c r="Q175" i="19"/>
  <c r="S175" i="19" s="1"/>
  <c r="E150" i="19"/>
  <c r="G150" i="19" s="1"/>
  <c r="Q150" i="19"/>
  <c r="S150" i="19" s="1"/>
  <c r="E153" i="19"/>
  <c r="G153" i="19" s="1"/>
  <c r="Q153" i="19"/>
  <c r="S153" i="19" s="1"/>
  <c r="E155" i="19"/>
  <c r="G155" i="19" s="1"/>
  <c r="Q155" i="19"/>
  <c r="S155" i="19" s="1"/>
  <c r="E158" i="19"/>
  <c r="G158" i="19" s="1"/>
  <c r="Q158" i="19"/>
  <c r="S158" i="19" s="1"/>
  <c r="E161" i="19"/>
  <c r="G161" i="19" s="1"/>
  <c r="Q161" i="19"/>
  <c r="S161" i="19" s="1"/>
  <c r="E164" i="19"/>
  <c r="G164" i="19" s="1"/>
  <c r="Q164" i="19"/>
  <c r="S164" i="19" s="1"/>
  <c r="E167" i="19"/>
  <c r="G167" i="19" s="1"/>
  <c r="Q167" i="19"/>
  <c r="S167" i="19" s="1"/>
  <c r="E171" i="19"/>
  <c r="G171" i="19" s="1"/>
  <c r="Q171" i="19"/>
  <c r="S171" i="19" s="1"/>
  <c r="E173" i="19"/>
  <c r="G173" i="19" s="1"/>
  <c r="Q173" i="19"/>
  <c r="S173" i="19" s="1"/>
  <c r="W175" i="19"/>
  <c r="Y175" i="19" s="1"/>
  <c r="AC178" i="19"/>
  <c r="AE178" i="19" s="1"/>
  <c r="E186" i="19"/>
  <c r="G186" i="19" s="1"/>
  <c r="E188" i="19"/>
  <c r="G188" i="19" s="1"/>
  <c r="W190" i="19"/>
  <c r="Y190" i="19" s="1"/>
  <c r="AC193" i="19"/>
  <c r="AE193" i="19" s="1"/>
  <c r="E198" i="19"/>
  <c r="G198" i="19" s="1"/>
  <c r="E199" i="19"/>
  <c r="G199" i="19" s="1"/>
  <c r="AC199" i="19"/>
  <c r="AE199" i="19" s="1"/>
  <c r="AE202" i="19"/>
  <c r="N202" i="19"/>
  <c r="P202" i="19" s="1"/>
  <c r="E203" i="19"/>
  <c r="G203" i="19" s="1"/>
  <c r="W203" i="19"/>
  <c r="Y203" i="19" s="1"/>
  <c r="AC205" i="19"/>
  <c r="AE205" i="19" s="1"/>
  <c r="Q217" i="19"/>
  <c r="S217" i="19" s="1"/>
  <c r="AC217" i="19"/>
  <c r="AE217" i="19" s="1"/>
  <c r="N217" i="19"/>
  <c r="P217" i="19" s="1"/>
  <c r="P219" i="19"/>
  <c r="E219" i="19"/>
  <c r="G219" i="19" s="1"/>
  <c r="Q219" i="19"/>
  <c r="S219" i="19" s="1"/>
  <c r="N220" i="19"/>
  <c r="P220" i="19" s="1"/>
  <c r="AC228" i="19"/>
  <c r="AE228" i="19" s="1"/>
  <c r="AC230" i="19"/>
  <c r="AE230" i="19" s="1"/>
  <c r="AC248" i="19"/>
  <c r="AE248" i="19" s="1"/>
  <c r="Q248" i="19"/>
  <c r="S248" i="19" s="1"/>
  <c r="E248" i="19"/>
  <c r="G248" i="19" s="1"/>
  <c r="W248" i="19"/>
  <c r="Y248" i="19" s="1"/>
  <c r="N248" i="19"/>
  <c r="P248" i="19" s="1"/>
  <c r="N251" i="19"/>
  <c r="P251" i="19" s="1"/>
  <c r="AC201" i="19"/>
  <c r="AE201" i="19" s="1"/>
  <c r="E211" i="19"/>
  <c r="G211" i="19" s="1"/>
  <c r="W213" i="19"/>
  <c r="Y213" i="19" s="1"/>
  <c r="AC216" i="19"/>
  <c r="AE216" i="19" s="1"/>
  <c r="E222" i="19"/>
  <c r="G222" i="19" s="1"/>
  <c r="W223" i="19"/>
  <c r="Y223" i="19" s="1"/>
  <c r="AC226" i="19"/>
  <c r="AE226" i="19" s="1"/>
  <c r="E233" i="19"/>
  <c r="G233" i="19" s="1"/>
  <c r="AC237" i="19"/>
  <c r="AE237" i="19" s="1"/>
  <c r="AC240" i="19"/>
  <c r="AE240" i="19" s="1"/>
  <c r="Q240" i="19"/>
  <c r="S240" i="19" s="1"/>
  <c r="E240" i="19"/>
  <c r="G240" i="19" s="1"/>
  <c r="AC213" i="19"/>
  <c r="AE213" i="19" s="1"/>
  <c r="AC223" i="19"/>
  <c r="AE223" i="19" s="1"/>
  <c r="N224" i="19"/>
  <c r="P224" i="19" s="1"/>
  <c r="Q226" i="19"/>
  <c r="S226" i="19" s="1"/>
  <c r="AC234" i="19"/>
  <c r="AE234" i="19" s="1"/>
  <c r="N235" i="19"/>
  <c r="P235" i="19" s="1"/>
  <c r="Q237" i="19"/>
  <c r="S237" i="19" s="1"/>
  <c r="P240" i="19"/>
  <c r="W239" i="19"/>
  <c r="Y239" i="19" s="1"/>
  <c r="W246" i="19"/>
  <c r="Y246" i="19" s="1"/>
  <c r="W249" i="19"/>
  <c r="Y249" i="19" s="1"/>
  <c r="W144" i="19"/>
  <c r="Y144" i="19" s="1"/>
  <c r="W145" i="19"/>
  <c r="Y145" i="19" s="1"/>
  <c r="AC30" i="19"/>
  <c r="AE30" i="19" s="1"/>
  <c r="Q30" i="19"/>
  <c r="S30" i="19" s="1"/>
  <c r="E30" i="19"/>
  <c r="G30" i="19" s="1"/>
  <c r="N30" i="19"/>
  <c r="P30" i="19" s="1"/>
  <c r="AC35" i="19"/>
  <c r="AE35" i="19" s="1"/>
  <c r="Q35" i="19"/>
  <c r="S35" i="19" s="1"/>
  <c r="E35" i="19"/>
  <c r="G35" i="19" s="1"/>
  <c r="N35" i="19"/>
  <c r="P35" i="19" s="1"/>
  <c r="AC39" i="19"/>
  <c r="AE39" i="19" s="1"/>
  <c r="Q39" i="19"/>
  <c r="S39" i="19" s="1"/>
  <c r="E39" i="19"/>
  <c r="G39" i="19" s="1"/>
  <c r="N39" i="19"/>
  <c r="P39" i="19" s="1"/>
  <c r="AC44" i="19"/>
  <c r="AE44" i="19" s="1"/>
  <c r="Q44" i="19"/>
  <c r="S44" i="19" s="1"/>
  <c r="E44" i="19"/>
  <c r="G44" i="19" s="1"/>
  <c r="N44" i="19"/>
  <c r="P44" i="19" s="1"/>
  <c r="AC32" i="19"/>
  <c r="AE32" i="19" s="1"/>
  <c r="Q32" i="19"/>
  <c r="S32" i="19" s="1"/>
  <c r="E32" i="19"/>
  <c r="G32" i="19" s="1"/>
  <c r="N32" i="19"/>
  <c r="P32" i="19" s="1"/>
  <c r="AC42" i="19"/>
  <c r="AE42" i="19" s="1"/>
  <c r="Q42" i="19"/>
  <c r="S42" i="19" s="1"/>
  <c r="E42" i="19"/>
  <c r="G42" i="19" s="1"/>
  <c r="N42" i="19"/>
  <c r="P42" i="19" s="1"/>
  <c r="AC37" i="19"/>
  <c r="AE37" i="19" s="1"/>
  <c r="Q37" i="19"/>
  <c r="S37" i="19" s="1"/>
  <c r="E37" i="19"/>
  <c r="G37" i="19" s="1"/>
  <c r="N37" i="19"/>
  <c r="P37" i="19" s="1"/>
  <c r="AC9" i="19"/>
  <c r="AE9" i="19" s="1"/>
  <c r="Q9" i="19"/>
  <c r="S9" i="19" s="1"/>
  <c r="E9" i="19"/>
  <c r="G9" i="19" s="1"/>
  <c r="W32" i="19"/>
  <c r="Y32" i="19" s="1"/>
  <c r="W37" i="19"/>
  <c r="Y37" i="19" s="1"/>
  <c r="W42" i="19"/>
  <c r="Y42" i="19" s="1"/>
  <c r="Y12" i="19"/>
  <c r="W14" i="19"/>
  <c r="Y14" i="19" s="1"/>
  <c r="W26" i="19"/>
  <c r="Y26" i="19" s="1"/>
  <c r="E28" i="19"/>
  <c r="G28" i="19" s="1"/>
  <c r="AC28" i="19"/>
  <c r="AE28" i="19" s="1"/>
  <c r="N46" i="19"/>
  <c r="P46" i="19" s="1"/>
  <c r="P48" i="19"/>
  <c r="N50" i="19"/>
  <c r="P50" i="19" s="1"/>
  <c r="N52" i="19"/>
  <c r="P52" i="19" s="1"/>
  <c r="N12" i="19"/>
  <c r="P12" i="19" s="1"/>
  <c r="W31" i="19"/>
  <c r="Y31" i="19" s="1"/>
  <c r="W36" i="19"/>
  <c r="Y36" i="19" s="1"/>
  <c r="W40" i="19"/>
  <c r="Y40" i="19" s="1"/>
  <c r="W45" i="19"/>
  <c r="Y45" i="19" s="1"/>
  <c r="E46" i="19"/>
  <c r="G46" i="19" s="1"/>
  <c r="Q46" i="19"/>
  <c r="S46" i="19" s="1"/>
  <c r="AC46" i="19"/>
  <c r="AE46" i="19" s="1"/>
  <c r="W47" i="19"/>
  <c r="Y47" i="19" s="1"/>
  <c r="Q48" i="19"/>
  <c r="S48" i="19" s="1"/>
  <c r="W49" i="19"/>
  <c r="Y49" i="19" s="1"/>
  <c r="E50" i="19"/>
  <c r="G50" i="19" s="1"/>
  <c r="Q50" i="19"/>
  <c r="S50" i="19" s="1"/>
  <c r="AC50" i="19"/>
  <c r="AE50" i="19" s="1"/>
  <c r="W51" i="19"/>
  <c r="Y51" i="19" s="1"/>
  <c r="E52" i="19"/>
  <c r="G52" i="19" s="1"/>
  <c r="S52" i="19"/>
  <c r="AC52" i="19"/>
  <c r="AE52" i="19" s="1"/>
  <c r="W53" i="19"/>
  <c r="Y53" i="19" s="1"/>
  <c r="E54" i="19"/>
  <c r="G54" i="19" s="1"/>
  <c r="Q54" i="19"/>
  <c r="S54" i="19" s="1"/>
  <c r="AC54" i="19"/>
  <c r="AE54" i="19" s="1"/>
  <c r="W55" i="19"/>
  <c r="Y55" i="19" s="1"/>
  <c r="E61" i="19"/>
  <c r="G61" i="19" s="1"/>
  <c r="S61" i="19"/>
  <c r="AC61" i="19"/>
  <c r="AE61" i="19" s="1"/>
  <c r="W62" i="19"/>
  <c r="Y62" i="19" s="1"/>
  <c r="W67" i="19"/>
  <c r="Y67" i="19" s="1"/>
  <c r="E68" i="19"/>
  <c r="G68" i="19" s="1"/>
  <c r="Q68" i="19"/>
  <c r="S68" i="19" s="1"/>
  <c r="AC68" i="19"/>
  <c r="AE68" i="19" s="1"/>
  <c r="W70" i="19"/>
  <c r="Y70" i="19" s="1"/>
  <c r="E71" i="19"/>
  <c r="G71" i="19" s="1"/>
  <c r="Q71" i="19"/>
  <c r="S71" i="19" s="1"/>
  <c r="AC71" i="19"/>
  <c r="AE71" i="19" s="1"/>
  <c r="E73" i="19"/>
  <c r="G73" i="19" s="1"/>
  <c r="Q73" i="19"/>
  <c r="S73" i="19" s="1"/>
  <c r="AC73" i="19"/>
  <c r="AE73" i="19" s="1"/>
  <c r="E75" i="19"/>
  <c r="G75" i="19" s="1"/>
  <c r="AC75" i="19"/>
  <c r="AE75" i="19" s="1"/>
  <c r="W76" i="19"/>
  <c r="Y76" i="19" s="1"/>
  <c r="Q77" i="19"/>
  <c r="S77" i="19" s="1"/>
  <c r="E79" i="19"/>
  <c r="G79" i="19" s="1"/>
  <c r="AC79" i="19"/>
  <c r="AE79" i="19" s="1"/>
  <c r="W80" i="19"/>
  <c r="Y80" i="19" s="1"/>
  <c r="Q82" i="19"/>
  <c r="S82" i="19" s="1"/>
  <c r="E85" i="19"/>
  <c r="G85" i="19" s="1"/>
  <c r="AC85" i="19"/>
  <c r="AE85" i="19" s="1"/>
  <c r="W87" i="19"/>
  <c r="Y87" i="19" s="1"/>
  <c r="Q88" i="19"/>
  <c r="S88" i="19" s="1"/>
  <c r="E90" i="19"/>
  <c r="G90" i="19" s="1"/>
  <c r="AC90" i="19"/>
  <c r="AE90" i="19" s="1"/>
  <c r="W91" i="19"/>
  <c r="Y91" i="19" s="1"/>
  <c r="Q93" i="19"/>
  <c r="S93" i="19" s="1"/>
  <c r="E95" i="19"/>
  <c r="G95" i="19" s="1"/>
  <c r="AC95" i="19"/>
  <c r="AE95" i="19" s="1"/>
  <c r="W97" i="19"/>
  <c r="Y97" i="19" s="1"/>
  <c r="Q98" i="19"/>
  <c r="S98" i="19" s="1"/>
  <c r="E100" i="19"/>
  <c r="G100" i="19" s="1"/>
  <c r="AE100" i="19"/>
  <c r="W101" i="19"/>
  <c r="Y101" i="19" s="1"/>
  <c r="Q103" i="19"/>
  <c r="S103" i="19" s="1"/>
  <c r="E106" i="19"/>
  <c r="G106" i="19" s="1"/>
  <c r="AC106" i="19"/>
  <c r="AE106" i="19" s="1"/>
  <c r="W107" i="19"/>
  <c r="Y107" i="19" s="1"/>
  <c r="Q109" i="19"/>
  <c r="S109" i="19" s="1"/>
  <c r="E112" i="19"/>
  <c r="G112" i="19" s="1"/>
  <c r="AC112" i="19"/>
  <c r="AE112" i="19" s="1"/>
  <c r="Y118" i="19"/>
  <c r="S119" i="19"/>
  <c r="W34" i="19"/>
  <c r="Y34" i="19" s="1"/>
  <c r="W38" i="19"/>
  <c r="Y38" i="19" s="1"/>
  <c r="W43" i="19"/>
  <c r="Y43" i="19" s="1"/>
  <c r="E48" i="19"/>
  <c r="G48" i="19" s="1"/>
  <c r="AC48" i="19"/>
  <c r="AE48" i="19" s="1"/>
  <c r="E12" i="19"/>
  <c r="G12" i="19" s="1"/>
  <c r="Q12" i="19"/>
  <c r="S12" i="19" s="1"/>
  <c r="E14" i="19"/>
  <c r="G14" i="19" s="1"/>
  <c r="Q14" i="19"/>
  <c r="S14" i="19" s="1"/>
  <c r="E26" i="19"/>
  <c r="G26" i="19" s="1"/>
  <c r="S26" i="19"/>
  <c r="E76" i="19"/>
  <c r="G76" i="19" s="1"/>
  <c r="AC76" i="19"/>
  <c r="AE76" i="19" s="1"/>
  <c r="W77" i="19"/>
  <c r="Y77" i="19" s="1"/>
  <c r="E80" i="19"/>
  <c r="G80" i="19" s="1"/>
  <c r="AC80" i="19"/>
  <c r="AE80" i="19" s="1"/>
  <c r="W82" i="19"/>
  <c r="Y82" i="19" s="1"/>
  <c r="E87" i="19"/>
  <c r="G87" i="19" s="1"/>
  <c r="AC87" i="19"/>
  <c r="AE87" i="19" s="1"/>
  <c r="W88" i="19"/>
  <c r="Y88" i="19" s="1"/>
  <c r="E91" i="19"/>
  <c r="G91" i="19" s="1"/>
  <c r="AC91" i="19"/>
  <c r="AE91" i="19" s="1"/>
  <c r="W93" i="19"/>
  <c r="Y93" i="19" s="1"/>
  <c r="E97" i="19"/>
  <c r="G97" i="19" s="1"/>
  <c r="AC97" i="19"/>
  <c r="AE97" i="19" s="1"/>
  <c r="W98" i="19"/>
  <c r="Y98" i="19" s="1"/>
  <c r="E101" i="19"/>
  <c r="G101" i="19" s="1"/>
  <c r="AC101" i="19"/>
  <c r="AE101" i="19" s="1"/>
  <c r="W103" i="19"/>
  <c r="Y103" i="19" s="1"/>
  <c r="E107" i="19"/>
  <c r="G107" i="19" s="1"/>
  <c r="AC107" i="19"/>
  <c r="AE107" i="19" s="1"/>
  <c r="W109" i="19"/>
  <c r="Y109" i="19" s="1"/>
  <c r="E118" i="19"/>
  <c r="G118" i="19" s="1"/>
  <c r="AC118" i="19"/>
  <c r="AE118" i="19" s="1"/>
  <c r="W119" i="19"/>
  <c r="Y119" i="19" s="1"/>
  <c r="S75" i="19"/>
  <c r="E77" i="19"/>
  <c r="G77" i="19" s="1"/>
  <c r="AC77" i="19"/>
  <c r="AE77" i="19" s="1"/>
  <c r="Q79" i="19"/>
  <c r="S79" i="19" s="1"/>
  <c r="E82" i="19"/>
  <c r="G82" i="19" s="1"/>
  <c r="AC82" i="19"/>
  <c r="AE82" i="19" s="1"/>
  <c r="Q85" i="19"/>
  <c r="S85" i="19" s="1"/>
  <c r="E88" i="19"/>
  <c r="G88" i="19" s="1"/>
  <c r="AC88" i="19"/>
  <c r="AE88" i="19" s="1"/>
  <c r="Q90" i="19"/>
  <c r="S90" i="19" s="1"/>
  <c r="E93" i="19"/>
  <c r="G93" i="19" s="1"/>
  <c r="AC93" i="19"/>
  <c r="AE93" i="19" s="1"/>
  <c r="Q95" i="19"/>
  <c r="S95" i="19" s="1"/>
  <c r="E98" i="19"/>
  <c r="G98" i="19" s="1"/>
  <c r="AC98" i="19"/>
  <c r="AE98" i="19" s="1"/>
  <c r="Q100" i="19"/>
  <c r="S100" i="19" s="1"/>
  <c r="E103" i="19"/>
  <c r="G103" i="19" s="1"/>
  <c r="AC103" i="19"/>
  <c r="AE103" i="19" s="1"/>
  <c r="Q106" i="19"/>
  <c r="S106" i="19" s="1"/>
  <c r="E109" i="19"/>
  <c r="G109" i="19" s="1"/>
  <c r="AC109" i="19"/>
  <c r="AE109" i="19" s="1"/>
  <c r="W110" i="19"/>
  <c r="Y110" i="19" s="1"/>
  <c r="Q112" i="19"/>
  <c r="S112" i="19" s="1"/>
  <c r="E119" i="19"/>
  <c r="G119" i="19" s="1"/>
  <c r="AC119" i="19"/>
  <c r="AE119" i="19" s="1"/>
  <c r="N120" i="19"/>
  <c r="P120" i="19" s="1"/>
  <c r="N128" i="19"/>
  <c r="P128" i="19" s="1"/>
  <c r="W122" i="19"/>
  <c r="Y122" i="19" s="1"/>
  <c r="E128" i="19"/>
  <c r="G128" i="19" s="1"/>
  <c r="Q128" i="19"/>
  <c r="S128" i="19" s="1"/>
  <c r="AC128" i="19"/>
  <c r="AE128" i="19" s="1"/>
  <c r="N122" i="19"/>
  <c r="P122" i="19" s="1"/>
  <c r="E122" i="19"/>
  <c r="G122" i="19" s="1"/>
  <c r="Q122" i="19"/>
  <c r="S122" i="19" s="1"/>
  <c r="Y361" i="19" l="1"/>
  <c r="Y362" i="19"/>
  <c r="P339" i="19"/>
  <c r="S339" i="19"/>
  <c r="AE339" i="19"/>
  <c r="Y339" i="19"/>
  <c r="G339" i="19"/>
  <c r="AF119" i="19"/>
  <c r="AH119" i="19" s="1"/>
  <c r="T95" i="19"/>
  <c r="V95" i="19" s="1"/>
  <c r="T75" i="19"/>
  <c r="V75" i="19" s="1"/>
  <c r="H97" i="19"/>
  <c r="J97" i="19" s="1"/>
  <c r="H14" i="19"/>
  <c r="J14" i="19" s="1"/>
  <c r="T103" i="19"/>
  <c r="V103" i="19" s="1"/>
  <c r="T88" i="19"/>
  <c r="V88" i="19" s="1"/>
  <c r="T71" i="19"/>
  <c r="V71" i="19" s="1"/>
  <c r="AF54" i="19"/>
  <c r="AH54" i="19" s="1"/>
  <c r="AF37" i="19"/>
  <c r="AH37" i="19" s="1"/>
  <c r="AF39" i="19"/>
  <c r="AH39" i="19" s="1"/>
  <c r="Z246" i="19"/>
  <c r="AB246" i="19" s="1"/>
  <c r="AF240" i="19"/>
  <c r="AH240" i="19" s="1"/>
  <c r="Z248" i="19"/>
  <c r="AB248" i="19" s="1"/>
  <c r="T217" i="19"/>
  <c r="V217" i="19" s="1"/>
  <c r="H186" i="19"/>
  <c r="J186" i="19" s="1"/>
  <c r="H161" i="19"/>
  <c r="J161" i="19" s="1"/>
  <c r="AF251" i="19"/>
  <c r="AH251" i="19" s="1"/>
  <c r="AF204" i="19"/>
  <c r="AH204" i="19" s="1"/>
  <c r="T231" i="19"/>
  <c r="V231" i="19" s="1"/>
  <c r="Z167" i="19"/>
  <c r="AB167" i="19" s="1"/>
  <c r="AF175" i="19"/>
  <c r="AH175" i="19" s="1"/>
  <c r="H277" i="19"/>
  <c r="J277" i="19" s="1"/>
  <c r="AF270" i="19"/>
  <c r="AH270" i="19" s="1"/>
  <c r="H273" i="19"/>
  <c r="J273" i="19" s="1"/>
  <c r="H303" i="19"/>
  <c r="J303" i="19" s="1"/>
  <c r="Z344" i="19"/>
  <c r="AB344" i="19" s="1"/>
  <c r="T301" i="19"/>
  <c r="V301" i="19" s="1"/>
  <c r="AF301" i="19"/>
  <c r="AH301" i="19" s="1"/>
  <c r="AF74" i="19"/>
  <c r="AH74" i="19" s="1"/>
  <c r="T303" i="19"/>
  <c r="V303" i="19" s="1"/>
  <c r="T249" i="19"/>
  <c r="V249" i="19" s="1"/>
  <c r="T184" i="19"/>
  <c r="V184" i="19" s="1"/>
  <c r="T101" i="19"/>
  <c r="V101" i="19" s="1"/>
  <c r="T213" i="19"/>
  <c r="V213" i="19" s="1"/>
  <c r="Z159" i="19"/>
  <c r="AB159" i="19" s="1"/>
  <c r="H71" i="19"/>
  <c r="J71" i="19" s="1"/>
  <c r="H355" i="19"/>
  <c r="J355" i="19" s="1"/>
  <c r="T306" i="19"/>
  <c r="V306" i="19" s="1"/>
  <c r="T67" i="19"/>
  <c r="V67" i="19" s="1"/>
  <c r="T325" i="19"/>
  <c r="V325" i="19" s="1"/>
  <c r="Z294" i="19"/>
  <c r="AB294" i="19" s="1"/>
  <c r="T172" i="19"/>
  <c r="V172" i="19" s="1"/>
  <c r="T40" i="19"/>
  <c r="V40" i="19" s="1"/>
  <c r="AF221" i="19"/>
  <c r="AH221" i="19" s="1"/>
  <c r="H321" i="19"/>
  <c r="J321" i="19" s="1"/>
  <c r="Z24" i="19"/>
  <c r="AB24" i="19" s="1"/>
  <c r="Z298" i="19"/>
  <c r="AB298" i="19" s="1"/>
  <c r="H320" i="19"/>
  <c r="J320" i="19" s="1"/>
  <c r="H182" i="19"/>
  <c r="J182" i="19" s="1"/>
  <c r="T199" i="19"/>
  <c r="V199" i="19" s="1"/>
  <c r="AF12" i="19"/>
  <c r="AH12" i="19" s="1"/>
  <c r="Z128" i="19"/>
  <c r="AB128" i="19" s="1"/>
  <c r="T36" i="19"/>
  <c r="V36" i="19" s="1"/>
  <c r="Z44" i="19"/>
  <c r="AB44" i="19" s="1"/>
  <c r="AF171" i="19"/>
  <c r="AH171" i="19" s="1"/>
  <c r="H307" i="19"/>
  <c r="J307" i="19" s="1"/>
  <c r="Z266" i="19"/>
  <c r="AB266" i="19" s="1"/>
  <c r="H118" i="19"/>
  <c r="J118" i="19" s="1"/>
  <c r="H31" i="19"/>
  <c r="J31" i="19" s="1"/>
  <c r="Z39" i="19"/>
  <c r="AB39" i="19" s="1"/>
  <c r="H319" i="19"/>
  <c r="J319" i="19" s="1"/>
  <c r="AF220" i="19"/>
  <c r="AH220" i="19" s="1"/>
  <c r="H88" i="19"/>
  <c r="J88" i="19" s="1"/>
  <c r="AF107" i="19"/>
  <c r="AH107" i="19" s="1"/>
  <c r="H80" i="19"/>
  <c r="J80" i="19" s="1"/>
  <c r="Z43" i="19"/>
  <c r="AB43" i="19" s="1"/>
  <c r="Z97" i="19"/>
  <c r="AB97" i="19" s="1"/>
  <c r="Z76" i="19"/>
  <c r="AB76" i="19" s="1"/>
  <c r="T61" i="19"/>
  <c r="V61" i="19" s="1"/>
  <c r="T50" i="19"/>
  <c r="V50" i="19" s="1"/>
  <c r="Z45" i="19"/>
  <c r="AB45" i="19" s="1"/>
  <c r="Z32" i="19"/>
  <c r="AB32" i="19" s="1"/>
  <c r="H39" i="19"/>
  <c r="J39" i="19" s="1"/>
  <c r="Z145" i="19"/>
  <c r="AB145" i="19" s="1"/>
  <c r="Z239" i="19"/>
  <c r="AB239" i="19" s="1"/>
  <c r="AF234" i="19"/>
  <c r="AH234" i="19" s="1"/>
  <c r="AF213" i="19"/>
  <c r="AH213" i="19" s="1"/>
  <c r="AF237" i="19"/>
  <c r="AH237" i="19" s="1"/>
  <c r="H222" i="19"/>
  <c r="J222" i="19" s="1"/>
  <c r="AF201" i="19"/>
  <c r="AH201" i="19" s="1"/>
  <c r="H248" i="19"/>
  <c r="J248" i="19" s="1"/>
  <c r="AF228" i="19"/>
  <c r="AH228" i="19" s="1"/>
  <c r="AF205" i="19"/>
  <c r="AH205" i="19" s="1"/>
  <c r="AF202" i="19"/>
  <c r="AH202" i="19" s="1"/>
  <c r="AF193" i="19"/>
  <c r="AH193" i="19" s="1"/>
  <c r="AF178" i="19"/>
  <c r="AH178" i="19" s="1"/>
  <c r="T171" i="19"/>
  <c r="V171" i="19" s="1"/>
  <c r="T164" i="19"/>
  <c r="V164" i="19" s="1"/>
  <c r="T158" i="19"/>
  <c r="V158" i="19" s="1"/>
  <c r="T153" i="19"/>
  <c r="V153" i="19" s="1"/>
  <c r="T175" i="19"/>
  <c r="V175" i="19" s="1"/>
  <c r="H230" i="19"/>
  <c r="J230" i="19" s="1"/>
  <c r="Z251" i="19"/>
  <c r="AB251" i="19" s="1"/>
  <c r="Z238" i="19"/>
  <c r="AB238" i="19" s="1"/>
  <c r="H221" i="19"/>
  <c r="J221" i="19" s="1"/>
  <c r="H220" i="19"/>
  <c r="J220" i="19" s="1"/>
  <c r="T198" i="19"/>
  <c r="V198" i="19" s="1"/>
  <c r="Z193" i="19"/>
  <c r="AB193" i="19" s="1"/>
  <c r="T186" i="19"/>
  <c r="V186" i="19" s="1"/>
  <c r="Z178" i="19"/>
  <c r="AB178" i="19" s="1"/>
  <c r="H171" i="19"/>
  <c r="J171" i="19" s="1"/>
  <c r="H158" i="19"/>
  <c r="J158" i="19" s="1"/>
  <c r="H238" i="19"/>
  <c r="J238" i="19" s="1"/>
  <c r="T228" i="19"/>
  <c r="V228" i="19" s="1"/>
  <c r="AF227" i="19"/>
  <c r="AH227" i="19" s="1"/>
  <c r="Z164" i="19"/>
  <c r="AB164" i="19" s="1"/>
  <c r="Z150" i="19"/>
  <c r="AB150" i="19" s="1"/>
  <c r="H205" i="19"/>
  <c r="J205" i="19" s="1"/>
  <c r="T256" i="19"/>
  <c r="V256" i="19" s="1"/>
  <c r="Z262" i="19"/>
  <c r="AB262" i="19" s="1"/>
  <c r="Z279" i="19"/>
  <c r="AB279" i="19" s="1"/>
  <c r="Z276" i="19"/>
  <c r="AB276" i="19" s="1"/>
  <c r="T273" i="19"/>
  <c r="V273" i="19" s="1"/>
  <c r="T270" i="19"/>
  <c r="V270" i="19" s="1"/>
  <c r="T266" i="19"/>
  <c r="V266" i="19" s="1"/>
  <c r="H270" i="19"/>
  <c r="J270" i="19" s="1"/>
  <c r="H334" i="19"/>
  <c r="J334" i="19" s="1"/>
  <c r="H353" i="19"/>
  <c r="J353" i="19" s="1"/>
  <c r="Z346" i="19"/>
  <c r="AB346" i="19" s="1"/>
  <c r="AF346" i="19"/>
  <c r="AH346" i="19" s="1"/>
  <c r="Z333" i="19"/>
  <c r="AB333" i="19" s="1"/>
  <c r="Z329" i="19"/>
  <c r="AB329" i="19" s="1"/>
  <c r="Z318" i="19"/>
  <c r="AB318" i="19" s="1"/>
  <c r="Z340" i="19"/>
  <c r="AB340" i="19" s="1"/>
  <c r="H316" i="19"/>
  <c r="J316" i="19" s="1"/>
  <c r="Z305" i="19"/>
  <c r="AB305" i="19" s="1"/>
  <c r="T300" i="19"/>
  <c r="V300" i="19" s="1"/>
  <c r="AF344" i="19"/>
  <c r="AH344" i="19" s="1"/>
  <c r="AF329" i="19"/>
  <c r="AH329" i="19" s="1"/>
  <c r="T328" i="19"/>
  <c r="V328" i="19" s="1"/>
  <c r="AF304" i="19"/>
  <c r="AH304" i="19" s="1"/>
  <c r="Z300" i="19"/>
  <c r="AB300" i="19" s="1"/>
  <c r="AF287" i="19"/>
  <c r="AH287" i="19" s="1"/>
  <c r="T271" i="19"/>
  <c r="V271" i="19" s="1"/>
  <c r="T235" i="19"/>
  <c r="V235" i="19" s="1"/>
  <c r="AF224" i="19"/>
  <c r="AH224" i="19" s="1"/>
  <c r="Z200" i="19"/>
  <c r="AB200" i="19" s="1"/>
  <c r="H196" i="19"/>
  <c r="J196" i="19" s="1"/>
  <c r="Z184" i="19"/>
  <c r="AB184" i="19" s="1"/>
  <c r="T177" i="19"/>
  <c r="V177" i="19" s="1"/>
  <c r="Z174" i="19"/>
  <c r="AB174" i="19" s="1"/>
  <c r="T166" i="19"/>
  <c r="V166" i="19" s="1"/>
  <c r="AF151" i="19"/>
  <c r="AH151" i="19" s="1"/>
  <c r="Z104" i="19"/>
  <c r="AB104" i="19" s="1"/>
  <c r="T45" i="19"/>
  <c r="V45" i="19" s="1"/>
  <c r="Z343" i="19"/>
  <c r="AB343" i="19" s="1"/>
  <c r="Z297" i="19"/>
  <c r="AB297" i="19" s="1"/>
  <c r="H271" i="19"/>
  <c r="J271" i="19" s="1"/>
  <c r="Z235" i="19"/>
  <c r="AB235" i="19" s="1"/>
  <c r="H233" i="19"/>
  <c r="J233" i="19" s="1"/>
  <c r="Z204" i="19"/>
  <c r="AB204" i="19" s="1"/>
  <c r="H166" i="19"/>
  <c r="J166" i="19" s="1"/>
  <c r="Z112" i="19"/>
  <c r="AB112" i="19" s="1"/>
  <c r="Z95" i="19"/>
  <c r="AB95" i="19" s="1"/>
  <c r="T84" i="19"/>
  <c r="V84" i="19" s="1"/>
  <c r="Z338" i="19"/>
  <c r="AB338" i="19" s="1"/>
  <c r="AF162" i="19"/>
  <c r="AH162" i="19" s="1"/>
  <c r="T345" i="19"/>
  <c r="V345" i="19" s="1"/>
  <c r="Z345" i="19"/>
  <c r="AB345" i="19" s="1"/>
  <c r="AF214" i="19"/>
  <c r="AH214" i="19" s="1"/>
  <c r="Z71" i="19"/>
  <c r="AB71" i="19" s="1"/>
  <c r="H51" i="19"/>
  <c r="J51" i="19" s="1"/>
  <c r="T38" i="19"/>
  <c r="V38" i="19" s="1"/>
  <c r="H323" i="19"/>
  <c r="J323" i="19" s="1"/>
  <c r="T55" i="19"/>
  <c r="V55" i="19" s="1"/>
  <c r="T13" i="19"/>
  <c r="V13" i="19" s="1"/>
  <c r="Z10" i="19"/>
  <c r="AB10" i="19" s="1"/>
  <c r="T355" i="19"/>
  <c r="V355" i="19" s="1"/>
  <c r="Z306" i="19"/>
  <c r="AB306" i="19" s="1"/>
  <c r="T222" i="19"/>
  <c r="V222" i="19" s="1"/>
  <c r="T154" i="19"/>
  <c r="V154" i="19" s="1"/>
  <c r="Z154" i="19"/>
  <c r="AB154" i="19" s="1"/>
  <c r="T72" i="19"/>
  <c r="V72" i="19" s="1"/>
  <c r="H55" i="19"/>
  <c r="J55" i="19" s="1"/>
  <c r="T31" i="19"/>
  <c r="V31" i="19" s="1"/>
  <c r="H7" i="19"/>
  <c r="J7" i="19" s="1"/>
  <c r="H216" i="19"/>
  <c r="J216" i="19" s="1"/>
  <c r="H67" i="19"/>
  <c r="J67" i="19" s="1"/>
  <c r="Z61" i="19"/>
  <c r="AB61" i="19" s="1"/>
  <c r="AF49" i="19"/>
  <c r="AH49" i="19" s="1"/>
  <c r="AF26" i="19"/>
  <c r="AH26" i="19" s="1"/>
  <c r="AF239" i="19"/>
  <c r="AH239" i="19" s="1"/>
  <c r="AF322" i="19"/>
  <c r="AH322" i="19" s="1"/>
  <c r="H294" i="19"/>
  <c r="J294" i="19" s="1"/>
  <c r="T202" i="19"/>
  <c r="V202" i="19" s="1"/>
  <c r="AF172" i="19"/>
  <c r="AH172" i="19" s="1"/>
  <c r="T120" i="19"/>
  <c r="V120" i="19" s="1"/>
  <c r="AF78" i="19"/>
  <c r="AH78" i="19" s="1"/>
  <c r="T331" i="19"/>
  <c r="V331" i="19" s="1"/>
  <c r="H276" i="19"/>
  <c r="J276" i="19" s="1"/>
  <c r="Z217" i="19"/>
  <c r="AB217" i="19" s="1"/>
  <c r="AF194" i="19"/>
  <c r="AH194" i="19" s="1"/>
  <c r="H145" i="19"/>
  <c r="J145" i="19" s="1"/>
  <c r="Z100" i="19"/>
  <c r="AB100" i="19" s="1"/>
  <c r="Z78" i="19"/>
  <c r="AB78" i="19" s="1"/>
  <c r="AF45" i="19"/>
  <c r="AH45" i="19" s="1"/>
  <c r="Z332" i="19"/>
  <c r="AB332" i="19" s="1"/>
  <c r="T287" i="19"/>
  <c r="V287" i="19" s="1"/>
  <c r="T201" i="19"/>
  <c r="V201" i="19" s="1"/>
  <c r="H174" i="19"/>
  <c r="J174" i="19" s="1"/>
  <c r="Z90" i="19"/>
  <c r="AB90" i="19" s="1"/>
  <c r="T47" i="19"/>
  <c r="V47" i="19" s="1"/>
  <c r="T339" i="19"/>
  <c r="T264" i="19"/>
  <c r="V264" i="19" s="1"/>
  <c r="AF104" i="19"/>
  <c r="AH104" i="19" s="1"/>
  <c r="AF94" i="19"/>
  <c r="AH94" i="19" s="1"/>
  <c r="T144" i="19"/>
  <c r="V144" i="19" s="1"/>
  <c r="AF200" i="19"/>
  <c r="AH200" i="19" s="1"/>
  <c r="AF192" i="19"/>
  <c r="AH192" i="19" s="1"/>
  <c r="H224" i="19"/>
  <c r="J224" i="19" s="1"/>
  <c r="Z99" i="19"/>
  <c r="AB99" i="19" s="1"/>
  <c r="H305" i="19"/>
  <c r="J305" i="19" s="1"/>
  <c r="H249" i="19"/>
  <c r="J249" i="19" s="1"/>
  <c r="H264" i="19"/>
  <c r="J264" i="19" s="1"/>
  <c r="Z353" i="19"/>
  <c r="AB353" i="19" s="1"/>
  <c r="AF333" i="19"/>
  <c r="AH333" i="19" s="1"/>
  <c r="T322" i="19"/>
  <c r="V322" i="19" s="1"/>
  <c r="T298" i="19"/>
  <c r="V298" i="19" s="1"/>
  <c r="AF279" i="19"/>
  <c r="AH279" i="19" s="1"/>
  <c r="H262" i="19"/>
  <c r="J262" i="19" s="1"/>
  <c r="Z325" i="19"/>
  <c r="AB325" i="19" s="1"/>
  <c r="T315" i="19"/>
  <c r="V315" i="19" s="1"/>
  <c r="Z296" i="19"/>
  <c r="AB296" i="19" s="1"/>
  <c r="Z52" i="19"/>
  <c r="AB52" i="19" s="1"/>
  <c r="H332" i="19"/>
  <c r="J332" i="19" s="1"/>
  <c r="Z270" i="19"/>
  <c r="AB270" i="19" s="1"/>
  <c r="Z224" i="19"/>
  <c r="AB224" i="19" s="1"/>
  <c r="AF110" i="19"/>
  <c r="AH110" i="19" s="1"/>
  <c r="T43" i="19"/>
  <c r="V43" i="19" s="1"/>
  <c r="H122" i="19"/>
  <c r="J122" i="19" s="1"/>
  <c r="Z109" i="19"/>
  <c r="AB109" i="19" s="1"/>
  <c r="AF80" i="19"/>
  <c r="AH80" i="19" s="1"/>
  <c r="H48" i="19"/>
  <c r="J48" i="19" s="1"/>
  <c r="T98" i="19"/>
  <c r="V98" i="19" s="1"/>
  <c r="T82" i="19"/>
  <c r="V82" i="19" s="1"/>
  <c r="T68" i="19"/>
  <c r="V68" i="19" s="1"/>
  <c r="AF52" i="19"/>
  <c r="AH52" i="19" s="1"/>
  <c r="H46" i="19"/>
  <c r="J46" i="19" s="1"/>
  <c r="Z37" i="19"/>
  <c r="AB37" i="19" s="1"/>
  <c r="AF42" i="19"/>
  <c r="AH42" i="19" s="1"/>
  <c r="AF35" i="19"/>
  <c r="AH35" i="19" s="1"/>
  <c r="H235" i="19"/>
  <c r="J235" i="19" s="1"/>
  <c r="Z223" i="19"/>
  <c r="AB223" i="19" s="1"/>
  <c r="H150" i="19"/>
  <c r="J150" i="19" s="1"/>
  <c r="T230" i="19"/>
  <c r="V230" i="19" s="1"/>
  <c r="T220" i="19"/>
  <c r="V220" i="19" s="1"/>
  <c r="AF196" i="19"/>
  <c r="AH196" i="19" s="1"/>
  <c r="H173" i="19"/>
  <c r="J173" i="19" s="1"/>
  <c r="H227" i="19"/>
  <c r="J227" i="19" s="1"/>
  <c r="Z263" i="19"/>
  <c r="AB263" i="19" s="1"/>
  <c r="AF336" i="19"/>
  <c r="AH336" i="19" s="1"/>
  <c r="H318" i="19"/>
  <c r="J318" i="19" s="1"/>
  <c r="T308" i="19"/>
  <c r="V308" i="19" s="1"/>
  <c r="T326" i="19"/>
  <c r="V326" i="19" s="1"/>
  <c r="T338" i="19"/>
  <c r="V338" i="19" s="1"/>
  <c r="AF274" i="19"/>
  <c r="AH274" i="19" s="1"/>
  <c r="T224" i="19"/>
  <c r="V224" i="19" s="1"/>
  <c r="Z192" i="19"/>
  <c r="AB192" i="19" s="1"/>
  <c r="AF271" i="19"/>
  <c r="AH271" i="19" s="1"/>
  <c r="H234" i="19"/>
  <c r="J234" i="19" s="1"/>
  <c r="Z169" i="19"/>
  <c r="AB169" i="19" s="1"/>
  <c r="H338" i="19"/>
  <c r="J338" i="19" s="1"/>
  <c r="T323" i="19"/>
  <c r="V323" i="19" s="1"/>
  <c r="Z222" i="19"/>
  <c r="AB222" i="19" s="1"/>
  <c r="H72" i="19"/>
  <c r="J72" i="19" s="1"/>
  <c r="T49" i="19"/>
  <c r="V49" i="19" s="1"/>
  <c r="Z186" i="19"/>
  <c r="AB186" i="19" s="1"/>
  <c r="H322" i="19"/>
  <c r="J322" i="19" s="1"/>
  <c r="T276" i="19"/>
  <c r="V276" i="19" s="1"/>
  <c r="T99" i="19"/>
  <c r="V99" i="19" s="1"/>
  <c r="AF331" i="19"/>
  <c r="AH331" i="19" s="1"/>
  <c r="AF145" i="19"/>
  <c r="AH145" i="19" s="1"/>
  <c r="AF47" i="19"/>
  <c r="AH47" i="19" s="1"/>
  <c r="T332" i="19"/>
  <c r="V332" i="19" s="1"/>
  <c r="AF180" i="19"/>
  <c r="AH180" i="19" s="1"/>
  <c r="Z309" i="19"/>
  <c r="AB309" i="19" s="1"/>
  <c r="H352" i="19"/>
  <c r="J352" i="19" s="1"/>
  <c r="Z188" i="19"/>
  <c r="AB188" i="19" s="1"/>
  <c r="H103" i="19"/>
  <c r="J103" i="19" s="1"/>
  <c r="Z73" i="19"/>
  <c r="AB73" i="19" s="1"/>
  <c r="H99" i="19"/>
  <c r="J99" i="19" s="1"/>
  <c r="H47" i="19"/>
  <c r="J47" i="19" s="1"/>
  <c r="AF280" i="19"/>
  <c r="AH280" i="19" s="1"/>
  <c r="AF164" i="19"/>
  <c r="AH164" i="19" s="1"/>
  <c r="H84" i="19"/>
  <c r="J84" i="19" s="1"/>
  <c r="H109" i="19"/>
  <c r="J109" i="19" s="1"/>
  <c r="T79" i="19"/>
  <c r="V79" i="19" s="1"/>
  <c r="Z93" i="19"/>
  <c r="AB93" i="19" s="1"/>
  <c r="T26" i="19"/>
  <c r="V26" i="19" s="1"/>
  <c r="Z107" i="19"/>
  <c r="AB107" i="19" s="1"/>
  <c r="Z87" i="19"/>
  <c r="AB87" i="19" s="1"/>
  <c r="T54" i="19"/>
  <c r="V54" i="19" s="1"/>
  <c r="H35" i="19"/>
  <c r="J35" i="19" s="1"/>
  <c r="AF98" i="19"/>
  <c r="AH98" i="19" s="1"/>
  <c r="AF118" i="19"/>
  <c r="AH118" i="19" s="1"/>
  <c r="H12" i="19"/>
  <c r="J12" i="19" s="1"/>
  <c r="AF100" i="19"/>
  <c r="AH100" i="19" s="1"/>
  <c r="AF85" i="19"/>
  <c r="AH85" i="19" s="1"/>
  <c r="H73" i="19"/>
  <c r="J73" i="19" s="1"/>
  <c r="H61" i="19"/>
  <c r="J61" i="19" s="1"/>
  <c r="H50" i="19"/>
  <c r="J50" i="19" s="1"/>
  <c r="Z12" i="19"/>
  <c r="AB12" i="19" s="1"/>
  <c r="H42" i="19"/>
  <c r="J42" i="19" s="1"/>
  <c r="Z203" i="19"/>
  <c r="AB203" i="19" s="1"/>
  <c r="Z175" i="19"/>
  <c r="AB175" i="19" s="1"/>
  <c r="Z230" i="19"/>
  <c r="AB230" i="19" s="1"/>
  <c r="Z221" i="19"/>
  <c r="AB221" i="19" s="1"/>
  <c r="H192" i="19"/>
  <c r="J192" i="19" s="1"/>
  <c r="T227" i="19"/>
  <c r="V227" i="19" s="1"/>
  <c r="Z287" i="19"/>
  <c r="AB287" i="19" s="1"/>
  <c r="H266" i="19"/>
  <c r="J266" i="19" s="1"/>
  <c r="Z280" i="19"/>
  <c r="AB280" i="19" s="1"/>
  <c r="AF339" i="19"/>
  <c r="AF325" i="19"/>
  <c r="AH325" i="19" s="1"/>
  <c r="T353" i="19"/>
  <c r="V353" i="19" s="1"/>
  <c r="T340" i="19"/>
  <c r="V340" i="19" s="1"/>
  <c r="T333" i="19"/>
  <c r="V333" i="19" s="1"/>
  <c r="AF326" i="19"/>
  <c r="AH326" i="19" s="1"/>
  <c r="T316" i="19"/>
  <c r="V316" i="19" s="1"/>
  <c r="Z308" i="19"/>
  <c r="AB308" i="19" s="1"/>
  <c r="H301" i="19"/>
  <c r="J301" i="19" s="1"/>
  <c r="AF295" i="19"/>
  <c r="AH295" i="19" s="1"/>
  <c r="N341" i="19"/>
  <c r="P341" i="19" s="1"/>
  <c r="T329" i="19"/>
  <c r="V329" i="19" s="1"/>
  <c r="AF298" i="19"/>
  <c r="AH298" i="19" s="1"/>
  <c r="T337" i="19"/>
  <c r="V337" i="19" s="1"/>
  <c r="T330" i="19"/>
  <c r="V330" i="19" s="1"/>
  <c r="H329" i="19"/>
  <c r="J329" i="19" s="1"/>
  <c r="H326" i="19"/>
  <c r="J326" i="19" s="1"/>
  <c r="Z319" i="19"/>
  <c r="AB319" i="19" s="1"/>
  <c r="AF308" i="19"/>
  <c r="AH308" i="19" s="1"/>
  <c r="AF300" i="19"/>
  <c r="AH300" i="19" s="1"/>
  <c r="H336" i="19"/>
  <c r="J336" i="19" s="1"/>
  <c r="H304" i="19"/>
  <c r="J304" i="19" s="1"/>
  <c r="T352" i="19"/>
  <c r="V352" i="19" s="1"/>
  <c r="T296" i="19"/>
  <c r="V296" i="19" s="1"/>
  <c r="AF268" i="19"/>
  <c r="AH268" i="19" s="1"/>
  <c r="T234" i="19"/>
  <c r="V234" i="19" s="1"/>
  <c r="AF211" i="19"/>
  <c r="AH211" i="19" s="1"/>
  <c r="Z197" i="19"/>
  <c r="AB197" i="19" s="1"/>
  <c r="T194" i="19"/>
  <c r="V194" i="19" s="1"/>
  <c r="Z180" i="19"/>
  <c r="AB180" i="19" s="1"/>
  <c r="Z177" i="19"/>
  <c r="AB177" i="19" s="1"/>
  <c r="H172" i="19"/>
  <c r="J172" i="19" s="1"/>
  <c r="T162" i="19"/>
  <c r="V162" i="19" s="1"/>
  <c r="Z151" i="19"/>
  <c r="AB151" i="19" s="1"/>
  <c r="Z94" i="19"/>
  <c r="AB94" i="19" s="1"/>
  <c r="T34" i="19"/>
  <c r="V34" i="19" s="1"/>
  <c r="H296" i="19"/>
  <c r="J296" i="19" s="1"/>
  <c r="T274" i="19"/>
  <c r="V274" i="19" s="1"/>
  <c r="T268" i="19"/>
  <c r="V268" i="19" s="1"/>
  <c r="T246" i="19"/>
  <c r="V246" i="19" s="1"/>
  <c r="AF235" i="19"/>
  <c r="AH235" i="19" s="1"/>
  <c r="Z233" i="19"/>
  <c r="AB233" i="19" s="1"/>
  <c r="T204" i="19"/>
  <c r="V204" i="19" s="1"/>
  <c r="H169" i="19"/>
  <c r="J169" i="19" s="1"/>
  <c r="Z166" i="19"/>
  <c r="AB166" i="19" s="1"/>
  <c r="Z106" i="19"/>
  <c r="AB106" i="19" s="1"/>
  <c r="T94" i="19"/>
  <c r="V94" i="19" s="1"/>
  <c r="T80" i="19"/>
  <c r="V80" i="19" s="1"/>
  <c r="H297" i="19"/>
  <c r="J297" i="19" s="1"/>
  <c r="T262" i="19"/>
  <c r="V262" i="19" s="1"/>
  <c r="T211" i="19"/>
  <c r="V211" i="19" s="1"/>
  <c r="Z162" i="19"/>
  <c r="AB162" i="19" s="1"/>
  <c r="H345" i="19"/>
  <c r="J345" i="19" s="1"/>
  <c r="T214" i="19"/>
  <c r="V214" i="19" s="1"/>
  <c r="AF157" i="19"/>
  <c r="AH157" i="19" s="1"/>
  <c r="AF43" i="19"/>
  <c r="AH43" i="19" s="1"/>
  <c r="AF38" i="19"/>
  <c r="AH38" i="19" s="1"/>
  <c r="H36" i="19"/>
  <c r="J36" i="19" s="1"/>
  <c r="Z323" i="19"/>
  <c r="AB323" i="19" s="1"/>
  <c r="T62" i="19"/>
  <c r="V62" i="19" s="1"/>
  <c r="Z13" i="19"/>
  <c r="AB13" i="19" s="1"/>
  <c r="H306" i="19"/>
  <c r="J306" i="19" s="1"/>
  <c r="AF222" i="19"/>
  <c r="AH222" i="19" s="1"/>
  <c r="AF154" i="19"/>
  <c r="AH154" i="19" s="1"/>
  <c r="AF72" i="19"/>
  <c r="AH72" i="19" s="1"/>
  <c r="Z72" i="19"/>
  <c r="AB72" i="19" s="1"/>
  <c r="AF55" i="19"/>
  <c r="AH55" i="19" s="1"/>
  <c r="AF31" i="19"/>
  <c r="AH31" i="19" s="1"/>
  <c r="AF7" i="19"/>
  <c r="AH7" i="19" s="1"/>
  <c r="Z216" i="19"/>
  <c r="AB216" i="19" s="1"/>
  <c r="AF67" i="19"/>
  <c r="AH67" i="19" s="1"/>
  <c r="T51" i="19"/>
  <c r="V51" i="19" s="1"/>
  <c r="H49" i="19"/>
  <c r="J49" i="19" s="1"/>
  <c r="H9" i="19"/>
  <c r="J9" i="19" s="1"/>
  <c r="T223" i="19"/>
  <c r="V223" i="19" s="1"/>
  <c r="AF294" i="19"/>
  <c r="AH294" i="19" s="1"/>
  <c r="H177" i="19"/>
  <c r="J177" i="19" s="1"/>
  <c r="T145" i="19"/>
  <c r="V145" i="19" s="1"/>
  <c r="T118" i="19"/>
  <c r="V118" i="19" s="1"/>
  <c r="Z89" i="19"/>
  <c r="AB89" i="19" s="1"/>
  <c r="H74" i="19"/>
  <c r="J74" i="19" s="1"/>
  <c r="AF14" i="19"/>
  <c r="AH14" i="19" s="1"/>
  <c r="Z331" i="19"/>
  <c r="AB331" i="19" s="1"/>
  <c r="T321" i="19"/>
  <c r="V321" i="19" s="1"/>
  <c r="Z202" i="19"/>
  <c r="AB202" i="19" s="1"/>
  <c r="T76" i="19"/>
  <c r="V76" i="19" s="1"/>
  <c r="T307" i="19"/>
  <c r="V307" i="19" s="1"/>
  <c r="Z226" i="19"/>
  <c r="AB226" i="19" s="1"/>
  <c r="H201" i="19"/>
  <c r="J201" i="19" s="1"/>
  <c r="T174" i="19"/>
  <c r="V174" i="19" s="1"/>
  <c r="T97" i="19"/>
  <c r="V97" i="19" s="1"/>
  <c r="H325" i="19"/>
  <c r="J325" i="19" s="1"/>
  <c r="H246" i="19"/>
  <c r="J246" i="19" s="1"/>
  <c r="H53" i="19"/>
  <c r="J53" i="19" s="1"/>
  <c r="AF84" i="19"/>
  <c r="AH84" i="19" s="1"/>
  <c r="T53" i="19"/>
  <c r="V53" i="19" s="1"/>
  <c r="Z339" i="19"/>
  <c r="T200" i="19"/>
  <c r="V200" i="19" s="1"/>
  <c r="AF99" i="19"/>
  <c r="AH99" i="19" s="1"/>
  <c r="Z334" i="19"/>
  <c r="AB334" i="19" s="1"/>
  <c r="H89" i="19"/>
  <c r="J89" i="19" s="1"/>
  <c r="H333" i="19"/>
  <c r="J333" i="19" s="1"/>
  <c r="AF249" i="19"/>
  <c r="AH249" i="19" s="1"/>
  <c r="Z219" i="19"/>
  <c r="AB219" i="19" s="1"/>
  <c r="AF203" i="19"/>
  <c r="AH203" i="19" s="1"/>
  <c r="H194" i="19"/>
  <c r="J194" i="19" s="1"/>
  <c r="T180" i="19"/>
  <c r="V180" i="19" s="1"/>
  <c r="T151" i="19"/>
  <c r="V151" i="19" s="1"/>
  <c r="Z46" i="19"/>
  <c r="AB46" i="19" s="1"/>
  <c r="AF173" i="19"/>
  <c r="AH173" i="19" s="1"/>
  <c r="AF155" i="19"/>
  <c r="AH155" i="19" s="1"/>
  <c r="H45" i="19"/>
  <c r="J45" i="19" s="1"/>
  <c r="H24" i="19"/>
  <c r="J24" i="19" s="1"/>
  <c r="Z30" i="19"/>
  <c r="AB30" i="19" s="1"/>
  <c r="AF309" i="19"/>
  <c r="AH309" i="19" s="1"/>
  <c r="AF275" i="19"/>
  <c r="AH275" i="19" s="1"/>
  <c r="Z240" i="19"/>
  <c r="AB240" i="19" s="1"/>
  <c r="H204" i="19"/>
  <c r="J204" i="19" s="1"/>
  <c r="AF158" i="19"/>
  <c r="AH158" i="19" s="1"/>
  <c r="H104" i="19"/>
  <c r="J104" i="19" s="1"/>
  <c r="H94" i="19"/>
  <c r="J94" i="19" s="1"/>
  <c r="T74" i="19"/>
  <c r="V74" i="19" s="1"/>
  <c r="AF352" i="19"/>
  <c r="AH352" i="19" s="1"/>
  <c r="H337" i="19"/>
  <c r="J337" i="19" s="1"/>
  <c r="AF316" i="19"/>
  <c r="AH316" i="19" s="1"/>
  <c r="AF303" i="19"/>
  <c r="AH303" i="19" s="1"/>
  <c r="AF273" i="19"/>
  <c r="AH273" i="19" s="1"/>
  <c r="AF233" i="19"/>
  <c r="AH233" i="19" s="1"/>
  <c r="H217" i="19"/>
  <c r="J217" i="19" s="1"/>
  <c r="H178" i="19"/>
  <c r="J178" i="19" s="1"/>
  <c r="AF150" i="19"/>
  <c r="AH150" i="19" s="1"/>
  <c r="H40" i="19"/>
  <c r="J40" i="19" s="1"/>
  <c r="Z48" i="19"/>
  <c r="AB48" i="19" s="1"/>
  <c r="AF334" i="19"/>
  <c r="AH334" i="19" s="1"/>
  <c r="Z295" i="19"/>
  <c r="AB295" i="19" s="1"/>
  <c r="Z196" i="19"/>
  <c r="AB196" i="19" s="1"/>
  <c r="H34" i="19"/>
  <c r="J34" i="19" s="1"/>
  <c r="H128" i="19"/>
  <c r="J128" i="19" s="1"/>
  <c r="AF109" i="19"/>
  <c r="AH109" i="19" s="1"/>
  <c r="AF88" i="19"/>
  <c r="AH88" i="19" s="1"/>
  <c r="H82" i="19"/>
  <c r="J82" i="19" s="1"/>
  <c r="AF101" i="19"/>
  <c r="AH101" i="19" s="1"/>
  <c r="Z88" i="19"/>
  <c r="AB88" i="19" s="1"/>
  <c r="H76" i="19"/>
  <c r="J76" i="19" s="1"/>
  <c r="T119" i="19"/>
  <c r="V119" i="19" s="1"/>
  <c r="T109" i="19"/>
  <c r="V109" i="19" s="1"/>
  <c r="T93" i="19"/>
  <c r="V93" i="19" s="1"/>
  <c r="T77" i="19"/>
  <c r="V77" i="19" s="1"/>
  <c r="AF73" i="19"/>
  <c r="AH73" i="19" s="1"/>
  <c r="AF61" i="19"/>
  <c r="AH61" i="19" s="1"/>
  <c r="AF50" i="19"/>
  <c r="AH50" i="19" s="1"/>
  <c r="T48" i="19"/>
  <c r="V48" i="19" s="1"/>
  <c r="Z31" i="19"/>
  <c r="AB31" i="19" s="1"/>
  <c r="Z26" i="19"/>
  <c r="AB26" i="19" s="1"/>
  <c r="AF9" i="19"/>
  <c r="AH9" i="19" s="1"/>
  <c r="AF32" i="19"/>
  <c r="AH32" i="19" s="1"/>
  <c r="AF44" i="19"/>
  <c r="AH44" i="19" s="1"/>
  <c r="AF30" i="19"/>
  <c r="AH30" i="19" s="1"/>
  <c r="AF223" i="19"/>
  <c r="AH223" i="19" s="1"/>
  <c r="AF230" i="19"/>
  <c r="AH230" i="19" s="1"/>
  <c r="H219" i="19"/>
  <c r="J219" i="19" s="1"/>
  <c r="H198" i="19"/>
  <c r="J198" i="19" s="1"/>
  <c r="H155" i="19"/>
  <c r="J155" i="19" s="1"/>
  <c r="Z227" i="19"/>
  <c r="AB227" i="19" s="1"/>
  <c r="T188" i="19"/>
  <c r="V188" i="19" s="1"/>
  <c r="AF182" i="19"/>
  <c r="AH182" i="19" s="1"/>
  <c r="T203" i="19"/>
  <c r="V203" i="19" s="1"/>
  <c r="AF188" i="19"/>
  <c r="AH188" i="19" s="1"/>
  <c r="Z153" i="19"/>
  <c r="AB153" i="19" s="1"/>
  <c r="H263" i="19"/>
  <c r="J263" i="19" s="1"/>
  <c r="H280" i="19"/>
  <c r="J280" i="19" s="1"/>
  <c r="Z274" i="19"/>
  <c r="AB274" i="19" s="1"/>
  <c r="AF266" i="19"/>
  <c r="AH266" i="19" s="1"/>
  <c r="Z256" i="19"/>
  <c r="AB256" i="19" s="1"/>
  <c r="AF323" i="19"/>
  <c r="AH323" i="19" s="1"/>
  <c r="AF307" i="19"/>
  <c r="AH307" i="19" s="1"/>
  <c r="T346" i="19"/>
  <c r="V346" i="19" s="1"/>
  <c r="T309" i="19"/>
  <c r="V309" i="19" s="1"/>
  <c r="T297" i="19"/>
  <c r="V297" i="19" s="1"/>
  <c r="T336" i="19"/>
  <c r="V336" i="19" s="1"/>
  <c r="T319" i="19"/>
  <c r="V319" i="19" s="1"/>
  <c r="AF297" i="19"/>
  <c r="AH297" i="19" s="1"/>
  <c r="T344" i="19"/>
  <c r="V344" i="19" s="1"/>
  <c r="Z330" i="19"/>
  <c r="AB330" i="19" s="1"/>
  <c r="AF315" i="19"/>
  <c r="AH315" i="19" s="1"/>
  <c r="Z303" i="19"/>
  <c r="AB303" i="19" s="1"/>
  <c r="T239" i="19"/>
  <c r="V239" i="19" s="1"/>
  <c r="AF174" i="19"/>
  <c r="AH174" i="19" s="1"/>
  <c r="H151" i="19"/>
  <c r="J151" i="19" s="1"/>
  <c r="H279" i="19"/>
  <c r="J279" i="19" s="1"/>
  <c r="H237" i="19"/>
  <c r="J237" i="19" s="1"/>
  <c r="H211" i="19"/>
  <c r="J211" i="19" s="1"/>
  <c r="T159" i="19"/>
  <c r="V159" i="19" s="1"/>
  <c r="Z85" i="19"/>
  <c r="AB85" i="19" s="1"/>
  <c r="H268" i="19"/>
  <c r="J268" i="19" s="1"/>
  <c r="H162" i="19"/>
  <c r="J162" i="19" s="1"/>
  <c r="H214" i="19"/>
  <c r="J214" i="19" s="1"/>
  <c r="T157" i="19"/>
  <c r="V157" i="19" s="1"/>
  <c r="AF62" i="19"/>
  <c r="AH62" i="19" s="1"/>
  <c r="AF36" i="19"/>
  <c r="AH36" i="19" s="1"/>
  <c r="Z198" i="19"/>
  <c r="AB198" i="19" s="1"/>
  <c r="H13" i="19"/>
  <c r="J13" i="19" s="1"/>
  <c r="T10" i="19"/>
  <c r="V10" i="19" s="1"/>
  <c r="T7" i="19"/>
  <c r="V7" i="19" s="1"/>
  <c r="T216" i="19"/>
  <c r="V216" i="19" s="1"/>
  <c r="H70" i="19"/>
  <c r="J70" i="19" s="1"/>
  <c r="T182" i="19"/>
  <c r="V182" i="19" s="1"/>
  <c r="H87" i="19"/>
  <c r="J87" i="19" s="1"/>
  <c r="AF276" i="19"/>
  <c r="AH276" i="19" s="1"/>
  <c r="Z194" i="19"/>
  <c r="AB194" i="19" s="1"/>
  <c r="Z120" i="19"/>
  <c r="AB120" i="19" s="1"/>
  <c r="H226" i="19"/>
  <c r="J226" i="19" s="1"/>
  <c r="Z79" i="19"/>
  <c r="AB79" i="19" s="1"/>
  <c r="H343" i="19"/>
  <c r="J343" i="19" s="1"/>
  <c r="Z182" i="19"/>
  <c r="AB182" i="19" s="1"/>
  <c r="AF264" i="19"/>
  <c r="AH264" i="19" s="1"/>
  <c r="H328" i="19"/>
  <c r="J328" i="19" s="1"/>
  <c r="H180" i="19"/>
  <c r="J180" i="19" s="1"/>
  <c r="H239" i="19"/>
  <c r="J239" i="19" s="1"/>
  <c r="H213" i="19"/>
  <c r="J213" i="19" s="1"/>
  <c r="T169" i="19"/>
  <c r="V169" i="19" s="1"/>
  <c r="H119" i="19"/>
  <c r="J119" i="19" s="1"/>
  <c r="H93" i="19"/>
  <c r="J93" i="19" s="1"/>
  <c r="Z50" i="19"/>
  <c r="AB50" i="19" s="1"/>
  <c r="AF167" i="19"/>
  <c r="AH167" i="19" s="1"/>
  <c r="AF263" i="19"/>
  <c r="AH263" i="19" s="1"/>
  <c r="AF144" i="19"/>
  <c r="AH144" i="19" s="1"/>
  <c r="H78" i="19"/>
  <c r="J78" i="19" s="1"/>
  <c r="AF343" i="19"/>
  <c r="AH343" i="19" s="1"/>
  <c r="AF161" i="19"/>
  <c r="AH161" i="19" s="1"/>
  <c r="H85" i="19"/>
  <c r="J85" i="19" s="1"/>
  <c r="Z122" i="19"/>
  <c r="AB122" i="19" s="1"/>
  <c r="T100" i="19"/>
  <c r="V100" i="19" s="1"/>
  <c r="AF93" i="19"/>
  <c r="AH93" i="19" s="1"/>
  <c r="Z119" i="19"/>
  <c r="AB119" i="19" s="1"/>
  <c r="H101" i="19"/>
  <c r="J101" i="19" s="1"/>
  <c r="AF87" i="19"/>
  <c r="AH87" i="19" s="1"/>
  <c r="T12" i="19"/>
  <c r="V12" i="19" s="1"/>
  <c r="Z118" i="19"/>
  <c r="AB118" i="19" s="1"/>
  <c r="Z101" i="19"/>
  <c r="AB101" i="19" s="1"/>
  <c r="Z91" i="19"/>
  <c r="AB91" i="19" s="1"/>
  <c r="Z80" i="19"/>
  <c r="AB80" i="19" s="1"/>
  <c r="T73" i="19"/>
  <c r="V73" i="19" s="1"/>
  <c r="H68" i="19"/>
  <c r="J68" i="19" s="1"/>
  <c r="T52" i="19"/>
  <c r="V52" i="19" s="1"/>
  <c r="Z47" i="19"/>
  <c r="AB47" i="19" s="1"/>
  <c r="Z14" i="19"/>
  <c r="AB14" i="19" s="1"/>
  <c r="H37" i="19"/>
  <c r="J37" i="19" s="1"/>
  <c r="AF128" i="19"/>
  <c r="AH128" i="19" s="1"/>
  <c r="T112" i="19"/>
  <c r="V112" i="19" s="1"/>
  <c r="T106" i="19"/>
  <c r="V106" i="19" s="1"/>
  <c r="T85" i="19"/>
  <c r="V85" i="19" s="1"/>
  <c r="AF77" i="19"/>
  <c r="AH77" i="19" s="1"/>
  <c r="H107" i="19"/>
  <c r="J107" i="19" s="1"/>
  <c r="Z98" i="19"/>
  <c r="AB98" i="19" s="1"/>
  <c r="AF91" i="19"/>
  <c r="AH91" i="19" s="1"/>
  <c r="Z77" i="19"/>
  <c r="AB77" i="19" s="1"/>
  <c r="H26" i="19"/>
  <c r="J26" i="19" s="1"/>
  <c r="Z38" i="19"/>
  <c r="AB38" i="19" s="1"/>
  <c r="AF112" i="19"/>
  <c r="AH112" i="19" s="1"/>
  <c r="AF106" i="19"/>
  <c r="AH106" i="19" s="1"/>
  <c r="AF95" i="19"/>
  <c r="AH95" i="19" s="1"/>
  <c r="AF90" i="19"/>
  <c r="AH90" i="19" s="1"/>
  <c r="AF79" i="19"/>
  <c r="AH79" i="19" s="1"/>
  <c r="AF75" i="19"/>
  <c r="AH75" i="19" s="1"/>
  <c r="Z70" i="19"/>
  <c r="AB70" i="19" s="1"/>
  <c r="Z67" i="19"/>
  <c r="AB67" i="19" s="1"/>
  <c r="H54" i="19"/>
  <c r="J54" i="19" s="1"/>
  <c r="H52" i="19"/>
  <c r="J52" i="19" s="1"/>
  <c r="AF46" i="19"/>
  <c r="AH46" i="19" s="1"/>
  <c r="Z40" i="19"/>
  <c r="AB40" i="19" s="1"/>
  <c r="H32" i="19"/>
  <c r="J32" i="19" s="1"/>
  <c r="H44" i="19"/>
  <c r="J44" i="19" s="1"/>
  <c r="H30" i="19"/>
  <c r="J30" i="19" s="1"/>
  <c r="Z144" i="19"/>
  <c r="AB144" i="19" s="1"/>
  <c r="T226" i="19"/>
  <c r="V226" i="19" s="1"/>
  <c r="H240" i="19"/>
  <c r="J240" i="19" s="1"/>
  <c r="AF216" i="19"/>
  <c r="AH216" i="19" s="1"/>
  <c r="T248" i="19"/>
  <c r="V248" i="19" s="1"/>
  <c r="AF199" i="19"/>
  <c r="AH199" i="19" s="1"/>
  <c r="Z190" i="19"/>
  <c r="AB190" i="19" s="1"/>
  <c r="H164" i="19"/>
  <c r="J164" i="19" s="1"/>
  <c r="H153" i="19"/>
  <c r="J153" i="19" s="1"/>
  <c r="Z171" i="19"/>
  <c r="AB171" i="19" s="1"/>
  <c r="H251" i="19"/>
  <c r="J251" i="19" s="1"/>
  <c r="AF231" i="19"/>
  <c r="AH231" i="19" s="1"/>
  <c r="Z220" i="19"/>
  <c r="AB220" i="19" s="1"/>
  <c r="AF197" i="19"/>
  <c r="AH197" i="19" s="1"/>
  <c r="AF184" i="19"/>
  <c r="AH184" i="19" s="1"/>
  <c r="H167" i="19"/>
  <c r="J167" i="19" s="1"/>
  <c r="AF238" i="19"/>
  <c r="AH238" i="19" s="1"/>
  <c r="AF198" i="19"/>
  <c r="AH198" i="19" s="1"/>
  <c r="AF186" i="19"/>
  <c r="AH186" i="19" s="1"/>
  <c r="Z158" i="19"/>
  <c r="AB158" i="19" s="1"/>
  <c r="H231" i="19"/>
  <c r="J231" i="19" s="1"/>
  <c r="H256" i="19"/>
  <c r="J256" i="19" s="1"/>
  <c r="Z277" i="19"/>
  <c r="AB277" i="19" s="1"/>
  <c r="AF277" i="19"/>
  <c r="AH277" i="19" s="1"/>
  <c r="T275" i="19"/>
  <c r="V275" i="19" s="1"/>
  <c r="T122" i="19"/>
  <c r="V122" i="19" s="1"/>
  <c r="T128" i="19"/>
  <c r="V128" i="19" s="1"/>
  <c r="H120" i="19"/>
  <c r="J120" i="19" s="1"/>
  <c r="Z110" i="19"/>
  <c r="AB110" i="19" s="1"/>
  <c r="AF103" i="19"/>
  <c r="AH103" i="19" s="1"/>
  <c r="H98" i="19"/>
  <c r="J98" i="19" s="1"/>
  <c r="T90" i="19"/>
  <c r="V90" i="19" s="1"/>
  <c r="AF82" i="19"/>
  <c r="AH82" i="19" s="1"/>
  <c r="H77" i="19"/>
  <c r="J77" i="19" s="1"/>
  <c r="Z103" i="19"/>
  <c r="AB103" i="19" s="1"/>
  <c r="AF97" i="19"/>
  <c r="AH97" i="19" s="1"/>
  <c r="H91" i="19"/>
  <c r="J91" i="19" s="1"/>
  <c r="Z82" i="19"/>
  <c r="AB82" i="19" s="1"/>
  <c r="AF76" i="19"/>
  <c r="AH76" i="19" s="1"/>
  <c r="T14" i="19"/>
  <c r="V14" i="19" s="1"/>
  <c r="AF48" i="19"/>
  <c r="AH48" i="19" s="1"/>
  <c r="Z34" i="19"/>
  <c r="AB34" i="19" s="1"/>
  <c r="H112" i="19"/>
  <c r="J112" i="19" s="1"/>
  <c r="H106" i="19"/>
  <c r="J106" i="19" s="1"/>
  <c r="H100" i="19"/>
  <c r="J100" i="19" s="1"/>
  <c r="H95" i="19"/>
  <c r="J95" i="19" s="1"/>
  <c r="H90" i="19"/>
  <c r="J90" i="19" s="1"/>
  <c r="H79" i="19"/>
  <c r="J79" i="19" s="1"/>
  <c r="H75" i="19"/>
  <c r="J75" i="19" s="1"/>
  <c r="AF71" i="19"/>
  <c r="AH71" i="19" s="1"/>
  <c r="AF68" i="19"/>
  <c r="AH68" i="19" s="1"/>
  <c r="Z62" i="19"/>
  <c r="AB62" i="19" s="1"/>
  <c r="Z55" i="19"/>
  <c r="AB55" i="19" s="1"/>
  <c r="Z53" i="19"/>
  <c r="AB53" i="19" s="1"/>
  <c r="Z51" i="19"/>
  <c r="AB51" i="19" s="1"/>
  <c r="Z49" i="19"/>
  <c r="AB49" i="19" s="1"/>
  <c r="T46" i="19"/>
  <c r="V46" i="19" s="1"/>
  <c r="Z36" i="19"/>
  <c r="AB36" i="19" s="1"/>
  <c r="Z42" i="19"/>
  <c r="AB42" i="19" s="1"/>
  <c r="T9" i="19"/>
  <c r="V9" i="19" s="1"/>
  <c r="T37" i="19"/>
  <c r="V37" i="19" s="1"/>
  <c r="T42" i="19"/>
  <c r="V42" i="19" s="1"/>
  <c r="T32" i="19"/>
  <c r="V32" i="19" s="1"/>
  <c r="T44" i="19"/>
  <c r="V44" i="19" s="1"/>
  <c r="T39" i="19"/>
  <c r="V39" i="19" s="1"/>
  <c r="T35" i="19"/>
  <c r="V35" i="19" s="1"/>
  <c r="T30" i="19"/>
  <c r="V30" i="19" s="1"/>
  <c r="Z249" i="19"/>
  <c r="AB249" i="19" s="1"/>
  <c r="T237" i="19"/>
  <c r="V237" i="19" s="1"/>
  <c r="T240" i="19"/>
  <c r="V240" i="19" s="1"/>
  <c r="AF226" i="19"/>
  <c r="AH226" i="19" s="1"/>
  <c r="Z213" i="19"/>
  <c r="AB213" i="19" s="1"/>
  <c r="AF248" i="19"/>
  <c r="AH248" i="19" s="1"/>
  <c r="T219" i="19"/>
  <c r="V219" i="19" s="1"/>
  <c r="AF217" i="19"/>
  <c r="AH217" i="19" s="1"/>
  <c r="H203" i="19"/>
  <c r="J203" i="19" s="1"/>
  <c r="H199" i="19"/>
  <c r="J199" i="19" s="1"/>
  <c r="H188" i="19"/>
  <c r="J188" i="19" s="1"/>
  <c r="T173" i="19"/>
  <c r="V173" i="19" s="1"/>
  <c r="T167" i="19"/>
  <c r="V167" i="19" s="1"/>
  <c r="T161" i="19"/>
  <c r="V161" i="19" s="1"/>
  <c r="T155" i="19"/>
  <c r="V155" i="19" s="1"/>
  <c r="T150" i="19"/>
  <c r="V150" i="19" s="1"/>
  <c r="Z161" i="19"/>
  <c r="AB161" i="19" s="1"/>
  <c r="Z199" i="19"/>
  <c r="AB199" i="19" s="1"/>
  <c r="T251" i="19"/>
  <c r="V251" i="19" s="1"/>
  <c r="Z228" i="19"/>
  <c r="AB228" i="19" s="1"/>
  <c r="Z205" i="19"/>
  <c r="AB205" i="19" s="1"/>
  <c r="H197" i="19"/>
  <c r="J197" i="19" s="1"/>
  <c r="H190" i="19"/>
  <c r="J190" i="19" s="1"/>
  <c r="H175" i="19"/>
  <c r="J175" i="19" s="1"/>
  <c r="T238" i="19"/>
  <c r="V238" i="19" s="1"/>
  <c r="H228" i="19"/>
  <c r="J228" i="19" s="1"/>
  <c r="T205" i="19"/>
  <c r="V205" i="19" s="1"/>
  <c r="T190" i="19"/>
  <c r="V190" i="19" s="1"/>
  <c r="Z173" i="19"/>
  <c r="AB173" i="19" s="1"/>
  <c r="Z155" i="19"/>
  <c r="AB155" i="19" s="1"/>
  <c r="Z231" i="19"/>
  <c r="AB231" i="19" s="1"/>
  <c r="AF190" i="19"/>
  <c r="AH190" i="19" s="1"/>
  <c r="T263" i="19"/>
  <c r="V263" i="19" s="1"/>
  <c r="Z275" i="19"/>
  <c r="AB275" i="19" s="1"/>
  <c r="T280" i="19"/>
  <c r="V280" i="19" s="1"/>
  <c r="T277" i="19"/>
  <c r="V277" i="19" s="1"/>
  <c r="H275" i="19"/>
  <c r="J275" i="19" s="1"/>
  <c r="Z271" i="19"/>
  <c r="AB271" i="19" s="1"/>
  <c r="Z268" i="19"/>
  <c r="AB268" i="19" s="1"/>
  <c r="Z264" i="19"/>
  <c r="AB264" i="19" s="1"/>
  <c r="Z273" i="19"/>
  <c r="AB273" i="19" s="1"/>
  <c r="AF332" i="19"/>
  <c r="AH332" i="19" s="1"/>
  <c r="AF321" i="19"/>
  <c r="AH321" i="19" s="1"/>
  <c r="AF355" i="19"/>
  <c r="AH355" i="19" s="1"/>
  <c r="AF353" i="19"/>
  <c r="AH353" i="19" s="1"/>
  <c r="H346" i="19"/>
  <c r="J346" i="19" s="1"/>
  <c r="AF337" i="19"/>
  <c r="AH337" i="19" s="1"/>
  <c r="AF318" i="19"/>
  <c r="AH318" i="19" s="1"/>
  <c r="H315" i="19"/>
  <c r="J315" i="19" s="1"/>
  <c r="T305" i="19"/>
  <c r="V305" i="19" s="1"/>
  <c r="H300" i="19"/>
  <c r="J300" i="19" s="1"/>
  <c r="AF340" i="19"/>
  <c r="AH340" i="19" s="1"/>
  <c r="Z328" i="19"/>
  <c r="AB328" i="19" s="1"/>
  <c r="Z315" i="19"/>
  <c r="AB315" i="19" s="1"/>
  <c r="T304" i="19"/>
  <c r="V304" i="19" s="1"/>
  <c r="H344" i="19"/>
  <c r="J344" i="19" s="1"/>
  <c r="Z337" i="19"/>
  <c r="AB337" i="19" s="1"/>
  <c r="H330" i="19"/>
  <c r="J330" i="19" s="1"/>
  <c r="Z326" i="19"/>
  <c r="AB326" i="19" s="1"/>
  <c r="Z336" i="19"/>
  <c r="AB336" i="19" s="1"/>
  <c r="Z304" i="19"/>
  <c r="AB304" i="19" s="1"/>
  <c r="T343" i="19"/>
  <c r="V343" i="19" s="1"/>
  <c r="Z316" i="19"/>
  <c r="AB316" i="19" s="1"/>
  <c r="H295" i="19"/>
  <c r="J295" i="19" s="1"/>
  <c r="T279" i="19"/>
  <c r="V279" i="19" s="1"/>
  <c r="AF246" i="19"/>
  <c r="AH246" i="19" s="1"/>
  <c r="T233" i="19"/>
  <c r="V233" i="19" s="1"/>
  <c r="T197" i="19"/>
  <c r="V197" i="19" s="1"/>
  <c r="T178" i="19"/>
  <c r="V178" i="19" s="1"/>
  <c r="Z172" i="19"/>
  <c r="AB172" i="19" s="1"/>
  <c r="AF159" i="19"/>
  <c r="AH159" i="19" s="1"/>
  <c r="T110" i="19"/>
  <c r="V110" i="19" s="1"/>
  <c r="Z84" i="19"/>
  <c r="AB84" i="19" s="1"/>
  <c r="AF24" i="19"/>
  <c r="AH24" i="19" s="1"/>
  <c r="Z352" i="19"/>
  <c r="AB352" i="19" s="1"/>
  <c r="AF296" i="19"/>
  <c r="AH296" i="19" s="1"/>
  <c r="AF262" i="19"/>
  <c r="AH262" i="19" s="1"/>
  <c r="Z237" i="19"/>
  <c r="AB237" i="19" s="1"/>
  <c r="Z234" i="19"/>
  <c r="AB234" i="19" s="1"/>
  <c r="AF219" i="19"/>
  <c r="AH219" i="19" s="1"/>
  <c r="H184" i="19"/>
  <c r="J184" i="19" s="1"/>
  <c r="AF169" i="19"/>
  <c r="AH169" i="19" s="1"/>
  <c r="T104" i="19"/>
  <c r="V104" i="19" s="1"/>
  <c r="T91" i="19"/>
  <c r="V91" i="19" s="1"/>
  <c r="Z75" i="19"/>
  <c r="AB75" i="19" s="1"/>
  <c r="Z211" i="19"/>
  <c r="AB211" i="19" s="1"/>
  <c r="H159" i="19"/>
  <c r="J159" i="19" s="1"/>
  <c r="AF345" i="19"/>
  <c r="AH345" i="19" s="1"/>
  <c r="Z214" i="19"/>
  <c r="AB214" i="19" s="1"/>
  <c r="H157" i="19"/>
  <c r="J157" i="19" s="1"/>
  <c r="Z157" i="19"/>
  <c r="AB157" i="19" s="1"/>
  <c r="Z68" i="19"/>
  <c r="AB68" i="19" s="1"/>
  <c r="H43" i="19"/>
  <c r="J43" i="19" s="1"/>
  <c r="H38" i="19"/>
  <c r="J38" i="19" s="1"/>
  <c r="AF10" i="19"/>
  <c r="AH10" i="19" s="1"/>
  <c r="H62" i="19"/>
  <c r="J62" i="19" s="1"/>
  <c r="H10" i="19"/>
  <c r="J10" i="19" s="1"/>
  <c r="Z355" i="19"/>
  <c r="AB355" i="19" s="1"/>
  <c r="T318" i="19"/>
  <c r="V318" i="19" s="1"/>
  <c r="AF306" i="19"/>
  <c r="AH306" i="19" s="1"/>
  <c r="H154" i="19"/>
  <c r="J154" i="19" s="1"/>
  <c r="T70" i="19"/>
  <c r="V70" i="19" s="1"/>
  <c r="Z7" i="19"/>
  <c r="AB7" i="19" s="1"/>
  <c r="AF70" i="19"/>
  <c r="AH70" i="19" s="1"/>
  <c r="AF51" i="19"/>
  <c r="AH51" i="19" s="1"/>
  <c r="Z9" i="19"/>
  <c r="AB9" i="19" s="1"/>
  <c r="T193" i="19"/>
  <c r="V193" i="19" s="1"/>
  <c r="Z322" i="19"/>
  <c r="AB322" i="19" s="1"/>
  <c r="AF319" i="19"/>
  <c r="AH319" i="19" s="1"/>
  <c r="AF177" i="19"/>
  <c r="AH177" i="19" s="1"/>
  <c r="H144" i="19"/>
  <c r="J144" i="19" s="1"/>
  <c r="H110" i="19"/>
  <c r="J110" i="19" s="1"/>
  <c r="T87" i="19"/>
  <c r="V87" i="19" s="1"/>
  <c r="Z74" i="19"/>
  <c r="AB74" i="19" s="1"/>
  <c r="H331" i="19"/>
  <c r="J331" i="19" s="1"/>
  <c r="T295" i="19"/>
  <c r="V295" i="19" s="1"/>
  <c r="T221" i="19"/>
  <c r="V221" i="19" s="1"/>
  <c r="H202" i="19"/>
  <c r="J202" i="19" s="1"/>
  <c r="AF120" i="19"/>
  <c r="AH120" i="19" s="1"/>
  <c r="T89" i="19"/>
  <c r="V89" i="19" s="1"/>
  <c r="AF40" i="19"/>
  <c r="AH40" i="19" s="1"/>
  <c r="Z321" i="19"/>
  <c r="AB321" i="19" s="1"/>
  <c r="Z307" i="19"/>
  <c r="AB307" i="19" s="1"/>
  <c r="Z201" i="19"/>
  <c r="AB201" i="19" s="1"/>
  <c r="T107" i="19"/>
  <c r="V107" i="19" s="1"/>
  <c r="T78" i="19"/>
  <c r="V78" i="19" s="1"/>
  <c r="T24" i="19"/>
  <c r="V24" i="19" s="1"/>
  <c r="Z54" i="19"/>
  <c r="AB54" i="19" s="1"/>
  <c r="H309" i="19"/>
  <c r="J309" i="19" s="1"/>
  <c r="H223" i="19"/>
  <c r="J223" i="19" s="1"/>
  <c r="T196" i="19"/>
  <c r="V196" i="19" s="1"/>
  <c r="AF53" i="19"/>
  <c r="AH53" i="19" s="1"/>
  <c r="Z320" i="19"/>
  <c r="AB320" i="19" s="1"/>
  <c r="T320" i="19"/>
  <c r="V320" i="19" s="1"/>
  <c r="H193" i="19"/>
  <c r="J193" i="19" s="1"/>
  <c r="AF34" i="19"/>
  <c r="AH34" i="19" s="1"/>
  <c r="T334" i="19"/>
  <c r="V334" i="19" s="1"/>
  <c r="H298" i="19"/>
  <c r="J298" i="19" s="1"/>
  <c r="H339" i="19"/>
  <c r="AF338" i="19"/>
  <c r="AH338" i="19" s="1"/>
  <c r="AF328" i="19"/>
  <c r="AH328" i="19" s="1"/>
  <c r="H308" i="19"/>
  <c r="J308" i="19" s="1"/>
  <c r="T294" i="19"/>
  <c r="V294" i="19" s="1"/>
  <c r="H274" i="19"/>
  <c r="J274" i="19" s="1"/>
  <c r="H340" i="19"/>
  <c r="J340" i="19" s="1"/>
  <c r="AF330" i="19"/>
  <c r="AH330" i="19" s="1"/>
  <c r="AF320" i="19"/>
  <c r="AH320" i="19" s="1"/>
  <c r="Z301" i="19"/>
  <c r="AB301" i="19" s="1"/>
  <c r="H287" i="19"/>
  <c r="J287" i="19" s="1"/>
  <c r="AF256" i="19"/>
  <c r="AH256" i="19" s="1"/>
  <c r="T192" i="19"/>
  <c r="V192" i="19" s="1"/>
  <c r="AF166" i="19"/>
  <c r="AH166" i="19" s="1"/>
  <c r="AF122" i="19"/>
  <c r="AH122" i="19" s="1"/>
  <c r="Z35" i="19"/>
  <c r="AB35" i="19" s="1"/>
  <c r="AF305" i="19"/>
  <c r="AH305" i="19" s="1"/>
  <c r="H200" i="19"/>
  <c r="J200" i="19" s="1"/>
  <c r="AF153" i="19"/>
  <c r="AH153" i="19" s="1"/>
  <c r="AF89" i="19"/>
  <c r="AH89" i="19" s="1"/>
  <c r="AF13" i="19"/>
  <c r="AH13" i="19" s="1"/>
  <c r="Z361" i="19"/>
  <c r="AB361" i="19" s="1"/>
  <c r="H361" i="19"/>
  <c r="J361" i="19" s="1"/>
  <c r="H362" i="19"/>
  <c r="J362" i="19" s="1"/>
  <c r="AF361" i="19"/>
  <c r="AH361" i="19" s="1"/>
  <c r="T362" i="19"/>
  <c r="V362" i="19" s="1"/>
  <c r="T361" i="19"/>
  <c r="V361" i="19" s="1"/>
  <c r="AF362" i="19"/>
  <c r="AH362" i="19" s="1"/>
  <c r="Z362" i="19"/>
  <c r="AB362" i="19" s="1"/>
  <c r="H289" i="19"/>
  <c r="J289" i="19" s="1"/>
  <c r="Z289" i="19"/>
  <c r="AB289" i="19" s="1"/>
  <c r="T289" i="19"/>
  <c r="V289" i="19" s="1"/>
  <c r="AF289" i="19"/>
  <c r="AH289" i="19" s="1"/>
  <c r="AB339" i="19" l="1"/>
  <c r="AH339" i="19"/>
  <c r="J339" i="19"/>
  <c r="V339" i="19"/>
  <c r="AF341" i="19"/>
  <c r="AH341" i="19" s="1"/>
  <c r="Z341" i="19"/>
  <c r="AB341" i="19" s="1"/>
  <c r="H341" i="19"/>
  <c r="J341" i="19" s="1"/>
  <c r="T341" i="19"/>
  <c r="V341" i="19" s="1"/>
  <c r="C1" i="6" l="1"/>
  <c r="D4" i="6"/>
  <c r="I4" i="6"/>
  <c r="D6" i="6"/>
  <c r="I6" i="6"/>
  <c r="D7" i="6"/>
  <c r="I7" i="6"/>
  <c r="D9" i="6"/>
  <c r="I9" i="6"/>
  <c r="D10" i="6"/>
  <c r="I10" i="6"/>
  <c r="D11" i="6"/>
  <c r="I11" i="6"/>
  <c r="D12" i="6"/>
  <c r="I13" i="6"/>
  <c r="D14" i="6"/>
  <c r="I14" i="6"/>
  <c r="D15" i="6"/>
  <c r="I15" i="6"/>
  <c r="I16" i="6"/>
  <c r="D17" i="6"/>
  <c r="I17" i="6"/>
  <c r="D18" i="6"/>
  <c r="I18" i="6"/>
  <c r="D19" i="6"/>
  <c r="I20" i="6"/>
  <c r="D21" i="6"/>
  <c r="D22" i="6"/>
  <c r="I22" i="6"/>
  <c r="D23" i="6"/>
  <c r="I24" i="6"/>
  <c r="D25" i="6"/>
  <c r="I26" i="6"/>
  <c r="D27" i="6"/>
  <c r="I27" i="6"/>
  <c r="D28" i="6"/>
  <c r="I28" i="6"/>
  <c r="D29" i="6"/>
  <c r="I29" i="6"/>
  <c r="D30" i="6"/>
  <c r="D31" i="6"/>
  <c r="D32" i="6" s="1"/>
  <c r="I31" i="6"/>
  <c r="I32" i="6"/>
  <c r="D33" i="6"/>
  <c r="I33" i="6"/>
  <c r="D34" i="6"/>
  <c r="I34" i="6"/>
  <c r="D35" i="6"/>
  <c r="I35" i="6"/>
  <c r="D36" i="6"/>
  <c r="I36" i="6"/>
  <c r="D37" i="6"/>
  <c r="I37" i="6"/>
  <c r="D38" i="6"/>
  <c r="D39" i="6" s="1"/>
  <c r="I39" i="6"/>
  <c r="D40" i="6"/>
  <c r="D41" i="6" s="1"/>
  <c r="I40" i="6"/>
  <c r="D42" i="6"/>
  <c r="I42" i="6"/>
  <c r="D43" i="6"/>
  <c r="I43" i="6"/>
  <c r="D44" i="6"/>
  <c r="I45" i="6"/>
  <c r="I47" i="6"/>
  <c r="D48" i="6"/>
  <c r="D49" i="6" s="1"/>
  <c r="I49" i="6"/>
  <c r="I50" i="6"/>
  <c r="D51" i="6"/>
  <c r="D52" i="6"/>
  <c r="I52" i="6"/>
  <c r="D53" i="6"/>
  <c r="I53" i="6"/>
  <c r="D54" i="6"/>
  <c r="I55" i="6"/>
  <c r="D56" i="6"/>
  <c r="I57" i="6"/>
  <c r="D58" i="6"/>
  <c r="I58" i="6"/>
  <c r="D59" i="6"/>
  <c r="D60" i="6"/>
  <c r="I60" i="6"/>
  <c r="D61" i="6"/>
  <c r="I61" i="6"/>
  <c r="D62" i="6"/>
  <c r="I63" i="6"/>
  <c r="D64" i="6"/>
  <c r="D65" i="6"/>
  <c r="I65" i="6"/>
  <c r="D66" i="6"/>
  <c r="I67" i="6"/>
  <c r="D68" i="6"/>
  <c r="I68" i="6"/>
  <c r="I70" i="6"/>
  <c r="D71" i="6"/>
  <c r="I71" i="6"/>
  <c r="D83" i="6"/>
  <c r="D85" i="6"/>
  <c r="I85" i="6"/>
  <c r="D86" i="6"/>
  <c r="I87" i="6"/>
  <c r="D88" i="6"/>
  <c r="I88" i="6"/>
  <c r="D89" i="6"/>
  <c r="D90" i="6"/>
  <c r="I90" i="6"/>
  <c r="D91" i="6"/>
  <c r="I91" i="6"/>
  <c r="I92" i="6"/>
  <c r="D93" i="6"/>
  <c r="D94" i="6"/>
  <c r="I94" i="6"/>
  <c r="D96" i="6"/>
  <c r="I96" i="6"/>
  <c r="D97" i="6"/>
  <c r="D98" i="6" s="1"/>
  <c r="I97" i="6"/>
  <c r="D100" i="6"/>
  <c r="D101" i="6"/>
  <c r="D102" i="6"/>
  <c r="I103" i="6"/>
  <c r="D104" i="6"/>
  <c r="D105" i="6"/>
  <c r="I105" i="6"/>
  <c r="I107" i="6"/>
  <c r="I109" i="6"/>
  <c r="D110" i="6"/>
  <c r="I111" i="6"/>
  <c r="D112" i="6"/>
  <c r="D113" i="6"/>
  <c r="D115" i="6"/>
  <c r="I115" i="6"/>
  <c r="D116" i="6"/>
  <c r="I117" i="6"/>
  <c r="I118" i="6"/>
  <c r="I119" i="6"/>
  <c r="D120" i="6"/>
  <c r="I120" i="6"/>
  <c r="F122" i="6"/>
  <c r="F123" i="6"/>
  <c r="C1" i="5"/>
  <c r="D4" i="5"/>
  <c r="I4" i="5"/>
  <c r="D6" i="5"/>
  <c r="I6" i="5"/>
  <c r="D7" i="5"/>
  <c r="I7" i="5"/>
  <c r="D9" i="5"/>
  <c r="I9" i="5"/>
  <c r="D10" i="5"/>
  <c r="I10" i="5"/>
  <c r="D11" i="5"/>
  <c r="I11" i="5"/>
  <c r="D12" i="5"/>
  <c r="I13" i="5"/>
  <c r="D14" i="5"/>
  <c r="I14" i="5"/>
  <c r="D15" i="5"/>
  <c r="I15" i="5"/>
  <c r="I16" i="5"/>
  <c r="D17" i="5"/>
  <c r="I17" i="5"/>
  <c r="D18" i="5"/>
  <c r="I18" i="5"/>
  <c r="D19" i="5"/>
  <c r="I20" i="5"/>
  <c r="D21" i="5"/>
  <c r="D22" i="5"/>
  <c r="I22" i="5"/>
  <c r="D23" i="5"/>
  <c r="I24" i="5"/>
  <c r="D25" i="5"/>
  <c r="I26" i="5"/>
  <c r="D27" i="5"/>
  <c r="I27" i="5"/>
  <c r="D28" i="5"/>
  <c r="I28" i="5"/>
  <c r="D29" i="5"/>
  <c r="I29" i="5"/>
  <c r="D30" i="5"/>
  <c r="D31" i="5"/>
  <c r="D32" i="5" s="1"/>
  <c r="I31" i="5"/>
  <c r="I32" i="5"/>
  <c r="D33" i="5"/>
  <c r="I33" i="5"/>
  <c r="D34" i="5"/>
  <c r="I34" i="5"/>
  <c r="D35" i="5"/>
  <c r="I35" i="5"/>
  <c r="D36" i="5"/>
  <c r="I36" i="5"/>
  <c r="D37" i="5"/>
  <c r="I37" i="5"/>
  <c r="D38" i="5"/>
  <c r="D39" i="5" s="1"/>
  <c r="I39" i="5"/>
  <c r="D40" i="5"/>
  <c r="D41" i="5" s="1"/>
  <c r="I40" i="5"/>
  <c r="D42" i="5"/>
  <c r="I42" i="5"/>
  <c r="D43" i="5"/>
  <c r="I43" i="5"/>
  <c r="D44" i="5"/>
  <c r="I45" i="5"/>
  <c r="I47" i="5"/>
  <c r="D48" i="5"/>
  <c r="D49" i="5" s="1"/>
  <c r="I49" i="5"/>
  <c r="I50" i="5"/>
  <c r="D51" i="5"/>
  <c r="D52" i="5"/>
  <c r="I52" i="5"/>
  <c r="D53" i="5"/>
  <c r="I53" i="5"/>
  <c r="D54" i="5"/>
  <c r="I55" i="5"/>
  <c r="D56" i="5"/>
  <c r="I57" i="5"/>
  <c r="D58" i="5"/>
  <c r="I58" i="5"/>
  <c r="D59" i="5"/>
  <c r="D60" i="5"/>
  <c r="I60" i="5"/>
  <c r="D61" i="5"/>
  <c r="I61" i="5"/>
  <c r="D62" i="5"/>
  <c r="I63" i="5"/>
  <c r="D64" i="5"/>
  <c r="D65" i="5"/>
  <c r="I65" i="5"/>
  <c r="D66" i="5"/>
  <c r="I67" i="5"/>
  <c r="D68" i="5"/>
  <c r="I68" i="5"/>
  <c r="I70" i="5"/>
  <c r="D71" i="5"/>
  <c r="I71" i="5"/>
  <c r="D82" i="5"/>
  <c r="D84" i="5"/>
  <c r="I84" i="5"/>
  <c r="D85" i="5"/>
  <c r="I86" i="5"/>
  <c r="D87" i="5"/>
  <c r="I87" i="5"/>
  <c r="D88" i="5"/>
  <c r="D89" i="5"/>
  <c r="I89" i="5"/>
  <c r="D90" i="5"/>
  <c r="I90" i="5"/>
  <c r="I91" i="5"/>
  <c r="D92" i="5"/>
  <c r="D93" i="5"/>
  <c r="I93" i="5"/>
  <c r="D95" i="5"/>
  <c r="I95" i="5"/>
  <c r="D96" i="5"/>
  <c r="D97" i="5" s="1"/>
  <c r="I96" i="5"/>
  <c r="D99" i="5"/>
  <c r="D100" i="5"/>
  <c r="D101" i="5"/>
  <c r="I101" i="5"/>
  <c r="M101" i="5"/>
  <c r="M102" i="5"/>
  <c r="D103" i="5"/>
  <c r="I103" i="5"/>
  <c r="D104" i="5"/>
  <c r="I105" i="5"/>
  <c r="I107" i="5"/>
  <c r="D109" i="5"/>
  <c r="I109" i="5"/>
  <c r="D111" i="5"/>
  <c r="D112" i="5"/>
  <c r="D114" i="5"/>
  <c r="I114" i="5"/>
  <c r="D115" i="5"/>
  <c r="I116" i="5"/>
  <c r="I117" i="5"/>
  <c r="I118" i="5"/>
  <c r="D119" i="5"/>
  <c r="I119" i="5"/>
  <c r="F121" i="5"/>
  <c r="F122" i="5"/>
</calcChain>
</file>

<file path=xl/sharedStrings.xml><?xml version="1.0" encoding="utf-8"?>
<sst xmlns="http://schemas.openxmlformats.org/spreadsheetml/2006/main" count="2723" uniqueCount="783">
  <si>
    <t>BR1000617</t>
  </si>
  <si>
    <t>BR1000618</t>
  </si>
  <si>
    <t>BR1001020</t>
  </si>
  <si>
    <t>1 mg com rev ct bl al plas inc x 30</t>
  </si>
  <si>
    <t>1 mg com rev ct bl al plas inc x 60</t>
  </si>
  <si>
    <t>FLORALYTE (CLORETO DE SÓDIO + CITRATO DE POTÁSSIO + CITRATO DE SÓDIO + GLICOSE)</t>
  </si>
  <si>
    <t>BR1003023</t>
  </si>
  <si>
    <t>BR1003024</t>
  </si>
  <si>
    <t>BR1003022</t>
  </si>
  <si>
    <t xml:space="preserve">45 meq/l (2,05+2,16+0,98+22,75)mg/ml sol or fr plas trans x 500 ml (sabor laranja) </t>
  </si>
  <si>
    <t xml:space="preserve">45 meq/l (2,05+2,16+0,98+22,75) mg/ml sol or fr plas trans x 500 ml (sabor tutti-frutti) </t>
  </si>
  <si>
    <t xml:space="preserve">45 meq/l (2,05+2,16+0,98+22,75) mg/ml sol or fr plas trans x 500 ml (sabor guaraná) </t>
  </si>
  <si>
    <t>HYAL030003</t>
  </si>
  <si>
    <t>REG</t>
  </si>
  <si>
    <t>ANVISA</t>
  </si>
  <si>
    <t>1008900900254</t>
  </si>
  <si>
    <t>1008900900246</t>
  </si>
  <si>
    <t>1008901930051</t>
  </si>
  <si>
    <t>1008902700023</t>
  </si>
  <si>
    <t xml:space="preserve">1008902970047 </t>
  </si>
  <si>
    <t>20 mg com rev ct bl al plas inc X 30</t>
  </si>
  <si>
    <t xml:space="preserve">1008901930017 </t>
  </si>
  <si>
    <t>1008903230012</t>
  </si>
  <si>
    <t>1008903360021</t>
  </si>
  <si>
    <t>1008903360013</t>
  </si>
  <si>
    <t>1008903360031</t>
  </si>
  <si>
    <t>1008902800028</t>
  </si>
  <si>
    <t>1008902800060</t>
  </si>
  <si>
    <t>1008902730070</t>
  </si>
  <si>
    <t>1008902730089</t>
  </si>
  <si>
    <t>1008902730038</t>
  </si>
  <si>
    <t>1008900150046</t>
  </si>
  <si>
    <t>1008902120061</t>
  </si>
  <si>
    <t>1008902120051</t>
  </si>
  <si>
    <t>1008902120078</t>
  </si>
  <si>
    <t>1008902540042</t>
  </si>
  <si>
    <t>1008902540077</t>
  </si>
  <si>
    <t>1008902750039</t>
  </si>
  <si>
    <t>1008902750020</t>
  </si>
  <si>
    <t>1008902750012</t>
  </si>
  <si>
    <t>1008902750055</t>
  </si>
  <si>
    <t>1008902750063</t>
  </si>
  <si>
    <t>1008902810023</t>
  </si>
  <si>
    <t>1008902760026</t>
  </si>
  <si>
    <t>1008901940063</t>
  </si>
  <si>
    <t>1008901940306</t>
  </si>
  <si>
    <t>1008901940128</t>
  </si>
  <si>
    <t>1008901940241</t>
  </si>
  <si>
    <t>1008902470028</t>
  </si>
  <si>
    <t>1008902470036</t>
  </si>
  <si>
    <t>1008900710455</t>
  </si>
  <si>
    <t>1008900710051</t>
  </si>
  <si>
    <t>1008900710382</t>
  </si>
  <si>
    <t>1008900710061</t>
  </si>
  <si>
    <t>1008900710481</t>
  </si>
  <si>
    <t>1008900090010</t>
  </si>
  <si>
    <t>1008902580028</t>
  </si>
  <si>
    <t>1008902980026</t>
  </si>
  <si>
    <t>1008902920031</t>
  </si>
  <si>
    <t>1008902920015</t>
  </si>
  <si>
    <t>1008902770021</t>
  </si>
  <si>
    <t>1008902770072</t>
  </si>
  <si>
    <t>1008902490037</t>
  </si>
  <si>
    <t>1008902990013</t>
  </si>
  <si>
    <t>1008903150019</t>
  </si>
  <si>
    <t>1008903150027</t>
  </si>
  <si>
    <t>1008903170028</t>
  </si>
  <si>
    <t>1008903160014</t>
  </si>
  <si>
    <t>1008903160049</t>
  </si>
  <si>
    <t>1008903160073</t>
  </si>
  <si>
    <t>1008903270030</t>
  </si>
  <si>
    <t>1008903270057</t>
  </si>
  <si>
    <t>1008903270065</t>
  </si>
  <si>
    <t>1008903270022</t>
  </si>
  <si>
    <t>1008903270049</t>
  </si>
  <si>
    <t>1008903270014</t>
  </si>
  <si>
    <t>1008903220017</t>
  </si>
  <si>
    <t>1008903220041</t>
  </si>
  <si>
    <t>1008903180015</t>
  </si>
  <si>
    <t>MERCK</t>
  </si>
  <si>
    <t xml:space="preserve"> </t>
  </si>
  <si>
    <t>PREÇO</t>
  </si>
  <si>
    <t xml:space="preserve">PREÇO </t>
  </si>
  <si>
    <t>CÓD</t>
  </si>
  <si>
    <t>APRESENTAÇÕES</t>
  </si>
  <si>
    <t>FÁBRICA</t>
  </si>
  <si>
    <t xml:space="preserve">AMPLOFEN  </t>
  </si>
  <si>
    <t>ESCLEROVITAN</t>
  </si>
  <si>
    <t xml:space="preserve">20 caps 500 mg </t>
  </si>
  <si>
    <t>30 drg</t>
  </si>
  <si>
    <t>60 ml 250 mg/5ml</t>
  </si>
  <si>
    <t>30 cáps plus</t>
  </si>
  <si>
    <t>ARTREN</t>
  </si>
  <si>
    <t>ESTREVA</t>
  </si>
  <si>
    <t>5 amp x 3 ml 75 mg</t>
  </si>
  <si>
    <t>Gel fr. c/50g</t>
  </si>
  <si>
    <t>50 amp x 3 ml 75 mg</t>
  </si>
  <si>
    <t>21 comp. 1,5 mg</t>
  </si>
  <si>
    <t>10 cáps 100 mg</t>
  </si>
  <si>
    <t>28 comp. 1,5 mg</t>
  </si>
  <si>
    <t>5 sup 50 mg</t>
  </si>
  <si>
    <t>EUTHYROX</t>
  </si>
  <si>
    <t>ASMALERGIN</t>
  </si>
  <si>
    <t>50 comp.  25 mcg</t>
  </si>
  <si>
    <t>xarope 100 ml 20 mg</t>
  </si>
  <si>
    <t>50 comp.  50 mcg</t>
  </si>
  <si>
    <t>20 comp 20 mg</t>
  </si>
  <si>
    <t>50 comp.  75 mcg</t>
  </si>
  <si>
    <t>ASALIT</t>
  </si>
  <si>
    <t>50 comp. 100 mcg</t>
  </si>
  <si>
    <t>1 env 3 g + 1 frc.dil.</t>
  </si>
  <si>
    <t>50 comp. 125 mcg</t>
  </si>
  <si>
    <t>10 sup 250 mg</t>
  </si>
  <si>
    <t>50 comp. 150 mcg</t>
  </si>
  <si>
    <t>20 comp 400 mg</t>
  </si>
  <si>
    <t xml:space="preserve">FEM 7 </t>
  </si>
  <si>
    <t>BICONCOR</t>
  </si>
  <si>
    <t>AD.Transdérmico x 4 saches</t>
  </si>
  <si>
    <t>2,5 mg Frasco  x 30 comp</t>
  </si>
  <si>
    <t>FLAXIN</t>
  </si>
  <si>
    <t>5,0 mg Frasco x 30 comp</t>
  </si>
  <si>
    <t>30 comp. 5 mg</t>
  </si>
  <si>
    <t>10 mg Frasco x 30 comp</t>
  </si>
  <si>
    <t>FLEMOXON Solutab</t>
  </si>
  <si>
    <t>CAMPRAL</t>
  </si>
  <si>
    <t>3 Bl. x 5 comp. Solúvel 750 mg</t>
  </si>
  <si>
    <t>7 Bl. x 12 comp. 333 mg</t>
  </si>
  <si>
    <t>FLORATIL</t>
  </si>
  <si>
    <t>CEBION</t>
  </si>
  <si>
    <t>4 Env. Pediátrico 200 mg</t>
  </si>
  <si>
    <t>10 comp efv. 1 g</t>
  </si>
  <si>
    <t xml:space="preserve">6 Env. Pediátrico 200 mg </t>
  </si>
  <si>
    <t>10 comp efv 2 g</t>
  </si>
  <si>
    <t xml:space="preserve">12 Cápsulas 100 mg </t>
  </si>
  <si>
    <t>cálcio 10 comp 500 mg</t>
  </si>
  <si>
    <t xml:space="preserve">6 Cápsulas 200 mg </t>
  </si>
  <si>
    <t>glicose 10 env. 1 g</t>
  </si>
  <si>
    <t>FLOGAN</t>
  </si>
  <si>
    <t xml:space="preserve">glicose 50 env. 1 g </t>
  </si>
  <si>
    <t>20 comp 50 mg</t>
  </si>
  <si>
    <t xml:space="preserve">    fração de venda</t>
  </si>
  <si>
    <t>20 ml gts 15 mg/ml</t>
  </si>
  <si>
    <t>30 ml gts 200mg/ml</t>
  </si>
  <si>
    <t>3 amp x 3 ml 75 mg</t>
  </si>
  <si>
    <t>Plus Magnésio  - 10 comp efv.</t>
  </si>
  <si>
    <t>Plus Minerais    - 10 comp efv.</t>
  </si>
  <si>
    <t>AI - 12,5 mg x 20 comp. Solúvel</t>
  </si>
  <si>
    <t>Mastigável - Laranja Env. c/ 10 cpr.</t>
  </si>
  <si>
    <t>AI -    50 mg x 20 comp. Solúvel</t>
  </si>
  <si>
    <t>Mastigável - Tutti-Frutti  Env. c/ 10 cpr.</t>
  </si>
  <si>
    <t>AI -  100 mg x 10 comp. Solúvel</t>
  </si>
  <si>
    <t>Mastigável Laranja -Cx.Dispensadora c/100 cpr</t>
  </si>
  <si>
    <t>GLIFAGE</t>
  </si>
  <si>
    <t>30 comp. 500 mg</t>
  </si>
  <si>
    <t>Mastigável Tutti-Frutti -Cx.Dispensadora c/100 cpr</t>
  </si>
  <si>
    <t xml:space="preserve">30 comp. 850 mg       </t>
  </si>
  <si>
    <t>GLICOSE</t>
  </si>
  <si>
    <t>50 amp x 10 ml 25%</t>
  </si>
  <si>
    <t>Cpr. Eferv. 1G x 2 Tubos</t>
  </si>
  <si>
    <t>50 amp x 10 ml 50%</t>
  </si>
  <si>
    <t>Cpr. Eferv. 2G x 2 Tubos</t>
  </si>
  <si>
    <t>ILOBAN</t>
  </si>
  <si>
    <t>Cebiolon cx.10 env. 20 balas - Laranja (3)</t>
  </si>
  <si>
    <t>20 cáps</t>
  </si>
  <si>
    <t>Cebiolon cx.10 env. 20 balas - Limão (3)</t>
  </si>
  <si>
    <t>LONAFLAM</t>
  </si>
  <si>
    <t>CESTOX</t>
  </si>
  <si>
    <t xml:space="preserve">10 comp. 7,5 mg </t>
  </si>
  <si>
    <t xml:space="preserve">3 x 4 comp 150 mg </t>
  </si>
  <si>
    <t>LUTENIL</t>
  </si>
  <si>
    <t xml:space="preserve">   fração de venda</t>
  </si>
  <si>
    <t>10 comp. 5 mg</t>
  </si>
  <si>
    <t>CITONEURIN</t>
  </si>
  <si>
    <t>14 comp. 5 mg</t>
  </si>
  <si>
    <t>20 drg 50 mcg</t>
  </si>
  <si>
    <t>MIDECAMIN</t>
  </si>
  <si>
    <t>20 drg 5000 mcg</t>
  </si>
  <si>
    <t>10 comp 600 mg</t>
  </si>
  <si>
    <t>3 amp x 3 ml 1000 mcg</t>
  </si>
  <si>
    <t>100 ml 200mg/5ml</t>
  </si>
  <si>
    <t>3 amp x 3 ml 5000 mcg</t>
  </si>
  <si>
    <t>MIO-CITALGAN</t>
  </si>
  <si>
    <t>CISTICID</t>
  </si>
  <si>
    <t xml:space="preserve">20 comp </t>
  </si>
  <si>
    <t>50 comp 500 mg</t>
  </si>
  <si>
    <t>MUCOFLUX</t>
  </si>
  <si>
    <t>CLINDAL AZ</t>
  </si>
  <si>
    <t>100 ml adu 250 mg</t>
  </si>
  <si>
    <t>Bl. x 6 cáps. 250 mg</t>
  </si>
  <si>
    <t>100 ml ped 100 mg</t>
  </si>
  <si>
    <t>40 mg/ml - Frasco c/600 mg Suspensão</t>
  </si>
  <si>
    <t>NASIVIN</t>
  </si>
  <si>
    <t>40 mg/ml - Frasco c/900 mg Suspensão</t>
  </si>
  <si>
    <t>10 ml gotas</t>
  </si>
  <si>
    <t xml:space="preserve">Bl. x 2 comp. 500 mg </t>
  </si>
  <si>
    <t>10 ml nebulizador</t>
  </si>
  <si>
    <t xml:space="preserve">Bl. x 3 comp. 500 mg </t>
  </si>
  <si>
    <t>NEOBAR</t>
  </si>
  <si>
    <t>CLINFAR</t>
  </si>
  <si>
    <t>150 ml susp.</t>
  </si>
  <si>
    <t xml:space="preserve">  5 mg x 30 comp.</t>
  </si>
  <si>
    <t>NUTRIZIM</t>
  </si>
  <si>
    <t>10 mg x 10 comp.</t>
  </si>
  <si>
    <t>20 drágeas</t>
  </si>
  <si>
    <t>10 mg x 30 comp.</t>
  </si>
  <si>
    <t>PAN-EMECORT</t>
  </si>
  <si>
    <t>DEXA-CITONEURIN</t>
  </si>
  <si>
    <t>10 g bisnaga</t>
  </si>
  <si>
    <t>20 comp</t>
  </si>
  <si>
    <t>30 g bisnaga</t>
  </si>
  <si>
    <t>3 amp I + 3 amp II</t>
  </si>
  <si>
    <t>PLENAX</t>
  </si>
  <si>
    <t>EMECORT CREME</t>
  </si>
  <si>
    <t>5 cáps 400 mg</t>
  </si>
  <si>
    <t>susp 50 ml</t>
  </si>
  <si>
    <t>PRODUTOS GENÉRICOS</t>
  </si>
  <si>
    <t xml:space="preserve">PSIQUIAL </t>
  </si>
  <si>
    <t xml:space="preserve">14 comp 20 mg </t>
  </si>
  <si>
    <t>ATENOLOL</t>
  </si>
  <si>
    <t>28 comp 20 mg</t>
  </si>
  <si>
    <t xml:space="preserve">  50 mg - Fr. c/30 comprimidos</t>
  </si>
  <si>
    <t>REFLAX</t>
  </si>
  <si>
    <t>100 mg - Fr. c/30 comprimidos</t>
  </si>
  <si>
    <t>500 mg  x 10 cáps.</t>
  </si>
  <si>
    <t>CAPTOPRIL</t>
  </si>
  <si>
    <t>80 ml 250 mg/5ml - Suspensão</t>
  </si>
  <si>
    <t>12.5  mg - Fr. c/30 comprs</t>
  </si>
  <si>
    <t>80 ml 375 mg/5ml - Suspensão</t>
  </si>
  <si>
    <t xml:space="preserve">    25 mg - Fr. c/30 comprs</t>
  </si>
  <si>
    <t>AP 375 mg x 10 comp.</t>
  </si>
  <si>
    <t xml:space="preserve">    50 mg - Fr. c/30 comprs</t>
  </si>
  <si>
    <t>ROXFLAN</t>
  </si>
  <si>
    <t xml:space="preserve">PIROXICAM </t>
  </si>
  <si>
    <t>20 comp. 5 mg</t>
  </si>
  <si>
    <t>20 mg - Fr. c/20 cáps.</t>
  </si>
  <si>
    <t>20 comp. 10 mg</t>
  </si>
  <si>
    <t>CLORIDRATO DE RANITIDINA</t>
  </si>
  <si>
    <t>SEDALMERCK</t>
  </si>
  <si>
    <t>150 mg - Fr. c/20 comprs.</t>
  </si>
  <si>
    <t>5 Bl. x 4 comp.</t>
  </si>
  <si>
    <t>300 mg - Fr. c/20 comprs.</t>
  </si>
  <si>
    <t>50 Bl. x 4 comp.</t>
  </si>
  <si>
    <t>SEVEN SEAS</t>
  </si>
  <si>
    <t>COSMÉTICOS  (1)</t>
  </si>
  <si>
    <t>Vitamina E x 30 cáps.</t>
  </si>
  <si>
    <t>Multivitaminas Giseng/Minerais x 30 cáps.</t>
  </si>
  <si>
    <t>Vitamina A, C, E Selênio x 30 cáps.</t>
  </si>
  <si>
    <t>CHUÁ (2)</t>
  </si>
  <si>
    <t>IPI de</t>
  </si>
  <si>
    <t>SEPTOPAL</t>
  </si>
  <si>
    <t>5 lenços</t>
  </si>
  <si>
    <t>10 pérolas</t>
  </si>
  <si>
    <t>CREME UNIVERSAL (2)</t>
  </si>
  <si>
    <t>30 pérolas</t>
  </si>
  <si>
    <t>60 g bisnaga</t>
  </si>
  <si>
    <t>CREME UNIVERSAL COM FRAGRÂNCIA (2)</t>
  </si>
  <si>
    <t>PRODUTOS FITOTERÁPICOS</t>
  </si>
  <si>
    <t>EMULSÃO UNIVERSAL (2)</t>
  </si>
  <si>
    <t>120 ml (Nova Embalagem)</t>
  </si>
  <si>
    <t>16 comp 80 mg</t>
  </si>
  <si>
    <t>PRODUTO ALIMENTO</t>
  </si>
  <si>
    <t xml:space="preserve">20 comp 80 mg        </t>
  </si>
  <si>
    <t>LAXTAM</t>
  </si>
  <si>
    <t>150 g geléia</t>
  </si>
  <si>
    <t>250 g geléia</t>
  </si>
  <si>
    <t>PRODUTO CORRELATO E NÃO MEDICAMENTO</t>
  </si>
  <si>
    <t>PREZATIM</t>
  </si>
  <si>
    <t>15 g bisnaga - Gel</t>
  </si>
  <si>
    <t>30 g bisnaga - Gel</t>
  </si>
  <si>
    <t>ESTA LISTA ENTRA EM VIGOR A PARTIR DE 01.05.2001</t>
  </si>
  <si>
    <r>
      <t>500 mg 20 cáps.</t>
    </r>
    <r>
      <rPr>
        <b/>
        <sz val="9"/>
        <rFont val="Arial"/>
        <family val="2"/>
      </rPr>
      <t xml:space="preserve"> </t>
    </r>
    <r>
      <rPr>
        <b/>
        <sz val="6.5"/>
        <rFont val="Arial"/>
        <family val="2"/>
      </rPr>
      <t>AÇÃO PROLONGADA</t>
    </r>
  </si>
  <si>
    <r>
      <t>MERCK S.A IND. QUÍMICAS</t>
    </r>
    <r>
      <rPr>
        <sz val="9"/>
        <rFont val="Arial"/>
        <family val="2"/>
      </rPr>
      <t xml:space="preserve"> - Estrada dos Bandeirantes, 1099; 22710-571 Rio de Janeiro, RJ Fax:(021)342-6588 Fone:(021)444-2274/444-2234</t>
    </r>
  </si>
  <si>
    <t>- MAIO DE 2001 - ICMS 17 %</t>
  </si>
  <si>
    <t>KIADON (4)</t>
  </si>
  <si>
    <t>LAXTAM (4)</t>
  </si>
  <si>
    <t>Óleo de Fígado de Bacalhau x 30 cáps. (3)</t>
  </si>
  <si>
    <t>Lecitina de Soja x 30 cáps. (3)</t>
  </si>
  <si>
    <t>Óleo de Alho x 30 cáps. (3)</t>
  </si>
  <si>
    <t>Óleo de Peixe x 30 cáps. (3)</t>
  </si>
  <si>
    <t>- MAIO DE 2001 - ICMS 12 %</t>
  </si>
  <si>
    <t>KIADON</t>
  </si>
  <si>
    <t>MEDICAMENTOS - LISTA POSITIVA</t>
  </si>
  <si>
    <t>BICONCOR (FUMARATO DE BISOPROLOL + HIDROCLOROTIAZIDA)</t>
  </si>
  <si>
    <t>1 G com eferv est tb plas x 10 - Sabor Acerola</t>
  </si>
  <si>
    <t>2 G com eferv est cart tb plas x 10</t>
  </si>
  <si>
    <t xml:space="preserve">CÁLCIO 500mg + 600mg com eferv est cart tb plas x 10 </t>
  </si>
  <si>
    <t xml:space="preserve">500 mg com rev ct cart bl al plas inc x 3 </t>
  </si>
  <si>
    <t>200 mg/g Pó oral est cart 4 sach x 1 G</t>
  </si>
  <si>
    <t>200 mg/g Pó oral est cart 6 sach x 1 G</t>
  </si>
  <si>
    <t xml:space="preserve">100 mg cáp gel microg est cart bl al plas inc x 10 </t>
  </si>
  <si>
    <t xml:space="preserve">500 mg com rev ct bl al plas inc x 2 </t>
  </si>
  <si>
    <t>1 G com eferv est cart 3 tb plas x 10 sabor laranja</t>
  </si>
  <si>
    <t>ICMS - 18%</t>
  </si>
  <si>
    <t>ICMS - 17%</t>
  </si>
  <si>
    <t>MEDICAMENTOS - LISTA NEGATIVA</t>
  </si>
  <si>
    <t>CÓDIGO</t>
  </si>
  <si>
    <t>E A N</t>
  </si>
  <si>
    <t>MÁXIMO</t>
  </si>
  <si>
    <t xml:space="preserve">FITOTERÁPICOS (1) - LISTA NEGATIVA </t>
  </si>
  <si>
    <t>1 G com eferv sem açúcar est cart tb plas x 10</t>
  </si>
  <si>
    <t>ARTREN (DICLOFENACO SÓDICO)</t>
  </si>
  <si>
    <t>CESTOX (PRAZIQUANTEL)</t>
  </si>
  <si>
    <t>CISTICID (PRAZIQUANTEL)</t>
  </si>
  <si>
    <t>CITONEURIN (POLIVITAMINAS - VITAMINAS B1/B6/B12)</t>
  </si>
  <si>
    <t>CLINDAL AZ (AZITROMICINA DIIDRATADA)</t>
  </si>
  <si>
    <t>CLINFAR (SINVASTATINA)</t>
  </si>
  <si>
    <t>CONCOR (FUMARATO DE BISOPROLOL)</t>
  </si>
  <si>
    <t>DICLIN (ACETATO DE CIPROTERONA + ETINILESTRADIOL)</t>
  </si>
  <si>
    <t>EUTHYROX (LEVOTIROXINA SÓDICA)</t>
  </si>
  <si>
    <t>GLIFAGE (METFORMINA)</t>
  </si>
  <si>
    <t>ALGINAC (POLIVITAMINAS - VITAMINAS B1/B6/B12 + DICLOFENACO SÓDICO)</t>
  </si>
  <si>
    <t>ASALIT (MESALAZINA)</t>
  </si>
  <si>
    <t>FLORATIL (SACCHAROMYCES BOULARDII)</t>
  </si>
  <si>
    <t>GLUCOVANCE (CLORIDRATO DE METFORMINA + GLIBENCLAMIDA)</t>
  </si>
  <si>
    <t>5 mg com rev est cart 2 bl al plas inc x 14</t>
  </si>
  <si>
    <t>10 mg com rev est cart 2 bl al plas inc x 14</t>
  </si>
  <si>
    <t>ROXFLAN (BESILATO DE ANLODIPINO)</t>
  </si>
  <si>
    <t xml:space="preserve">                                                                                                                               fração de venda</t>
  </si>
  <si>
    <t xml:space="preserve">1 mg + 50 mg + 50 mg + 50 mg com rev ct cart bl al pvdc inc x 15 </t>
  </si>
  <si>
    <t xml:space="preserve">1 mg + 50 mg + 50 mg + 50 mg com rev ct cart bl al pvdc inc x 30 </t>
  </si>
  <si>
    <t xml:space="preserve">500 mg com rev ct bl al plas inc x 5 </t>
  </si>
  <si>
    <t>MEDICAMENTOS GENÉRICOS - LISTA POSITIVA</t>
  </si>
  <si>
    <t>ICMS - 12%</t>
  </si>
  <si>
    <t>ACICLOVIR</t>
  </si>
  <si>
    <t xml:space="preserve">200 mg com ct fr plas opc x 25 </t>
  </si>
  <si>
    <t>400 mg com ct fr plas opc x 30</t>
  </si>
  <si>
    <t>BESILATO DE ANLODIPINO</t>
  </si>
  <si>
    <t>BROMAZEPAM</t>
  </si>
  <si>
    <t>3 mg com ct bl al plas inc x 20</t>
  </si>
  <si>
    <t>6 mg com ct bl al plas inc x 20</t>
  </si>
  <si>
    <t>CITALOPRAM</t>
  </si>
  <si>
    <t>CLORIDRATO DE CIPROFLOXACINO</t>
  </si>
  <si>
    <t>CLORIDRATO DE METFORMINA</t>
  </si>
  <si>
    <t>CLORIDRATO DE PAROXETINA</t>
  </si>
  <si>
    <t xml:space="preserve">20 mg com rev ct fr plas opc x 30 </t>
  </si>
  <si>
    <t>CLORIDRATO DE SOTALOL</t>
  </si>
  <si>
    <t xml:space="preserve">160 mg com ct fr plas opc x 30 </t>
  </si>
  <si>
    <t>CLORIDRATO DE TICLOPIDINA</t>
  </si>
  <si>
    <t>250 mg com rev est fr plas opc x 30</t>
  </si>
  <si>
    <t>DICLOFENACO SÓDICO</t>
  </si>
  <si>
    <t>100 mg cap gel microg est cart bl al plas inc x 10</t>
  </si>
  <si>
    <t>FINASTERIDA</t>
  </si>
  <si>
    <t>GLIMEPIRIDA</t>
  </si>
  <si>
    <t>1mg com ct bl al plas inc x 30</t>
  </si>
  <si>
    <t>2mg com ct bl al plas inc x 30</t>
  </si>
  <si>
    <t>4mg com ct bl al plas inc x 30</t>
  </si>
  <si>
    <t>LOSARTANA POTÁSSICA</t>
  </si>
  <si>
    <t>MELOXICAM</t>
  </si>
  <si>
    <t>7.5mg com est cart bl al plas inc x 10</t>
  </si>
  <si>
    <t>15mg com est cart bl al plas inc x 10</t>
  </si>
  <si>
    <t>MESILATO DE DOXAZOSINA</t>
  </si>
  <si>
    <t>2 mg com est fr plas opc x 30</t>
  </si>
  <si>
    <t>4 mg com est fr plas opc x 30</t>
  </si>
  <si>
    <t>MEDICAMENTOS GENÉRICOS - LISTA NEGATIVA</t>
  </si>
  <si>
    <t>LORATADINA</t>
  </si>
  <si>
    <t>10 mg com rev est ct 2 bl al plas amb x 6</t>
  </si>
  <si>
    <t>FLAXIN (FINASTERIDA)</t>
  </si>
  <si>
    <t>PSIQUIAL (CLORIDRATO DE FLUOXETINA)</t>
  </si>
  <si>
    <t>2.5 mg / 6.25 mg com ct cart fr plas opc x 30</t>
  </si>
  <si>
    <t>5 mg / 6.25 mg com ct cart fr plas opc x 30</t>
  </si>
  <si>
    <t>10 mg / 6.25 mg com ct cart fr plas opc x 30</t>
  </si>
  <si>
    <t>1.25 mg com rev est cart 2 bl al plas inc x 14</t>
  </si>
  <si>
    <t>2.5 mg com rev est cart 2 bl al plas inc x 14</t>
  </si>
  <si>
    <t>2 mg + 0.035 mg com rev ct cart est cal al pvc x 21</t>
  </si>
  <si>
    <t>2 mg + 0.035 mg com rev ct cart est cal al pvc x 63</t>
  </si>
  <si>
    <t>PANTOPRAZOL</t>
  </si>
  <si>
    <t>20mg com rev est ct bl al/al x 14</t>
  </si>
  <si>
    <t>20mg com rev est ct bl al/al x 28</t>
  </si>
  <si>
    <t>40mg com rev est ct bl al/al x 14</t>
  </si>
  <si>
    <t>40mg com rev est ct bl al/al x 28</t>
  </si>
  <si>
    <t>GLIFAGE XR (METFORMINA)</t>
  </si>
  <si>
    <t>LOSARTION (LOSARTANA POTÁSSICA)</t>
  </si>
  <si>
    <t>MEDICAMENTOS ONCOLÓGICOS- LISTA POSITIVA</t>
  </si>
  <si>
    <t>ERBITUX (CETUXIMABE)</t>
  </si>
  <si>
    <t>20mg com rev est ct bl al/al x 7</t>
  </si>
  <si>
    <t>40mg com rev est ct bl al/al x 7</t>
  </si>
  <si>
    <t>20mg / 2,0ml sol seringa 2,0ml</t>
  </si>
  <si>
    <t>FERMATHRON (HIALURONATO DE SÓDIO)</t>
  </si>
  <si>
    <t>PRODUTO PARA A SAÚDE (1) - LISTA NEGATIVA</t>
  </si>
  <si>
    <t>SAP</t>
  </si>
  <si>
    <t>BR1000840</t>
  </si>
  <si>
    <t>BR1000839</t>
  </si>
  <si>
    <t>BR1003508</t>
  </si>
  <si>
    <t>BR1000664</t>
  </si>
  <si>
    <t>BR1000651</t>
  </si>
  <si>
    <t>BR1000306</t>
  </si>
  <si>
    <t>BR1000307</t>
  </si>
  <si>
    <t>BR1000305</t>
  </si>
  <si>
    <t>BR1002412</t>
  </si>
  <si>
    <t>BR1002725</t>
  </si>
  <si>
    <t>BR1000123</t>
  </si>
  <si>
    <t>BR1000124</t>
  </si>
  <si>
    <t>BR1000129</t>
  </si>
  <si>
    <t>BR1001108</t>
  </si>
  <si>
    <t>BR1001116</t>
  </si>
  <si>
    <t>BR1007060</t>
  </si>
  <si>
    <t>BR1007065</t>
  </si>
  <si>
    <t>BR1007078</t>
  </si>
  <si>
    <t>BR1007091</t>
  </si>
  <si>
    <t>BR1001411</t>
  </si>
  <si>
    <t>BR1004413</t>
  </si>
  <si>
    <t>BR1000313</t>
  </si>
  <si>
    <t>BR1000314</t>
  </si>
  <si>
    <t>BR1007743</t>
  </si>
  <si>
    <t>BIOC08101236</t>
  </si>
  <si>
    <t>BR1007423</t>
  </si>
  <si>
    <t>BR1007420</t>
  </si>
  <si>
    <t>BR1001119</t>
  </si>
  <si>
    <t>BR1001121</t>
  </si>
  <si>
    <t>MX11359</t>
  </si>
  <si>
    <t>MX11357</t>
  </si>
  <si>
    <t>5000 mcg + 100 mg + 100 mg + 75 mg sol inj cx c/ cama 3 amp vd amb x 1 ml + 3 amp vd amb x 2 ml</t>
  </si>
  <si>
    <t>THIOCTACID (ÁCIDO TIÓCTICO)</t>
  </si>
  <si>
    <t>BR1007156</t>
  </si>
  <si>
    <t>600mg com rev ct fr vd amb x 30</t>
  </si>
  <si>
    <t>MX11378</t>
  </si>
  <si>
    <t>CELAPRAM (CITALOPRAM)</t>
  </si>
  <si>
    <t>20 mg com rev ct bl al plas inc x 30</t>
  </si>
  <si>
    <t xml:space="preserve">FLOXOCIP (CLORIDRATO DE CIPROFLOXACINO) </t>
  </si>
  <si>
    <t>BR1007428</t>
  </si>
  <si>
    <t>BR1007429</t>
  </si>
  <si>
    <t>BR1003876</t>
  </si>
  <si>
    <t>50 mg/g crem derm ct bg al x 10 g</t>
  </si>
  <si>
    <t>ACICLOVIR CREME</t>
  </si>
  <si>
    <t>BR1002936</t>
  </si>
  <si>
    <t>BR1002938</t>
  </si>
  <si>
    <t>BR1002940</t>
  </si>
  <si>
    <t>BR1002942</t>
  </si>
  <si>
    <t>BR1002944</t>
  </si>
  <si>
    <t>BR1002946</t>
  </si>
  <si>
    <t>BR1002948</t>
  </si>
  <si>
    <t>BR1002950</t>
  </si>
  <si>
    <r>
      <t xml:space="preserve">75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50 </t>
    </r>
  </si>
  <si>
    <r>
      <t xml:space="preserve">175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50 </t>
    </r>
  </si>
  <si>
    <r>
      <t xml:space="preserve">200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50 </t>
    </r>
  </si>
  <si>
    <t>BR1001015</t>
  </si>
  <si>
    <t>BR1001014</t>
  </si>
  <si>
    <t>RISPERIDONA</t>
  </si>
  <si>
    <t>INTA200005867</t>
  </si>
  <si>
    <t>INTA200005868</t>
  </si>
  <si>
    <t>MESIDOX (MESILATO DE DOXAZOSINA)</t>
  </si>
  <si>
    <t>2 mg com fr plas opc x 30</t>
  </si>
  <si>
    <t>4 mg com fr plas opc x 30</t>
  </si>
  <si>
    <t>BR1008010</t>
  </si>
  <si>
    <t>200 mg cap gel dura ct bl al al x 6</t>
  </si>
  <si>
    <t>100 mg cap gel dura ct bl al al x 12</t>
  </si>
  <si>
    <t>BR1002966</t>
  </si>
  <si>
    <t>BR1002967</t>
  </si>
  <si>
    <t>LEVOTIROXINA SÓDICA</t>
  </si>
  <si>
    <t>BR1002956</t>
  </si>
  <si>
    <t>BR1002957</t>
  </si>
  <si>
    <t>BR1002958</t>
  </si>
  <si>
    <t>BR1002960</t>
  </si>
  <si>
    <t>BR1002962</t>
  </si>
  <si>
    <t>BR1002963</t>
  </si>
  <si>
    <t>BR1002964</t>
  </si>
  <si>
    <t>BR1002965</t>
  </si>
  <si>
    <r>
      <t xml:space="preserve">75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30 </t>
    </r>
  </si>
  <si>
    <r>
      <t xml:space="preserve">125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30 </t>
    </r>
  </si>
  <si>
    <r>
      <t xml:space="preserve">175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30 </t>
    </r>
  </si>
  <si>
    <r>
      <t xml:space="preserve">200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30 </t>
    </r>
  </si>
  <si>
    <t>200 mg/g pó or est cart 25 sach x 1g (emb frac)</t>
  </si>
  <si>
    <r>
      <t xml:space="preserve">88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30</t>
    </r>
  </si>
  <si>
    <r>
      <t xml:space="preserve">112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30 </t>
    </r>
  </si>
  <si>
    <t>BR1002959</t>
  </si>
  <si>
    <t>BR1002961</t>
  </si>
  <si>
    <t>BR1000411</t>
  </si>
  <si>
    <t>F55A12A1</t>
  </si>
  <si>
    <t>F56B1201</t>
  </si>
  <si>
    <t>F56B12A3</t>
  </si>
  <si>
    <t>F1971201</t>
  </si>
  <si>
    <t>75 UI (5,5 mcg) cx c/1 fr amp pó liofilizado p/inj + 1 seringa solvente</t>
  </si>
  <si>
    <t>F5151201</t>
  </si>
  <si>
    <t>75 UI cx c/1 fr amp pó liofilizado p/inj + 1 fr amp solvente</t>
  </si>
  <si>
    <t>F12412A0</t>
  </si>
  <si>
    <t>F1281201</t>
  </si>
  <si>
    <t>8 mg cx c/1 fa po liof p/inj + 1 cartucho solvente</t>
  </si>
  <si>
    <t>F05512A0</t>
  </si>
  <si>
    <t>F21212A0</t>
  </si>
  <si>
    <t>F21212A1</t>
  </si>
  <si>
    <t>CETROTIDE (ACETATO DE CETRORRELIX)</t>
  </si>
  <si>
    <t>CRINONE (PROGESTERONA)</t>
  </si>
  <si>
    <t>LUVERIS (ALFALUTROPINA)</t>
  </si>
  <si>
    <t>OVIDREL (ALFACORIOGONADOTROPINA)</t>
  </si>
  <si>
    <t>REBIF (BETAINTERFERONA 1A)</t>
  </si>
  <si>
    <t>SAIZEN (SOMATROPINA)</t>
  </si>
  <si>
    <t>STILAMIN (SOMATOSTATINA)</t>
  </si>
  <si>
    <t>SEROPHENE (CITRATO DE CLOMIFENO)</t>
  </si>
  <si>
    <t xml:space="preserve">5 mg com rev ct bl al plas inc x 30 </t>
  </si>
  <si>
    <t xml:space="preserve">5000 mcg + 100 mg + 100 mg drg est ct bl al plas amb x 20 </t>
  </si>
  <si>
    <t>CO104553</t>
  </si>
  <si>
    <t>CO104559</t>
  </si>
  <si>
    <t>CO104554</t>
  </si>
  <si>
    <t>CO104561</t>
  </si>
  <si>
    <t>CO104556</t>
  </si>
  <si>
    <t xml:space="preserve">1 G com rev est bl al plas inc x 30 </t>
  </si>
  <si>
    <t>150 mg com est cart bl al pvc x 12</t>
  </si>
  <si>
    <t>BR1004007</t>
  </si>
  <si>
    <t>BR1003859</t>
  </si>
  <si>
    <t>BR1000887</t>
  </si>
  <si>
    <t>BR1007742</t>
  </si>
  <si>
    <t>BR1007745</t>
  </si>
  <si>
    <t>BIOC08101244</t>
  </si>
  <si>
    <t>BR1007410</t>
  </si>
  <si>
    <t>BR1007422</t>
  </si>
  <si>
    <t>BR1003812</t>
  </si>
  <si>
    <t>BR1003823</t>
  </si>
  <si>
    <t>BR1003824</t>
  </si>
  <si>
    <t>BR1003825</t>
  </si>
  <si>
    <t>BR1003828</t>
  </si>
  <si>
    <t>BR1007501</t>
  </si>
  <si>
    <t>BIOC08000973</t>
  </si>
  <si>
    <t>BIOC08000985</t>
  </si>
  <si>
    <t>BIOC08101162</t>
  </si>
  <si>
    <t>BR1003856</t>
  </si>
  <si>
    <t>BR1003807</t>
  </si>
  <si>
    <t>BR1003808</t>
  </si>
  <si>
    <t>INTA8751</t>
  </si>
  <si>
    <t>INTA8756</t>
  </si>
  <si>
    <t>INTA8759</t>
  </si>
  <si>
    <t>INTA8738</t>
  </si>
  <si>
    <t>INTA8717</t>
  </si>
  <si>
    <t>INTA8734</t>
  </si>
  <si>
    <t>BR1007040</t>
  </si>
  <si>
    <t>BR1007042</t>
  </si>
  <si>
    <t>BR1007050</t>
  </si>
  <si>
    <t>BR1000504</t>
  </si>
  <si>
    <t>BR1000962</t>
  </si>
  <si>
    <t>INTA200005869</t>
  </si>
  <si>
    <t>BR1002032</t>
  </si>
  <si>
    <t>BR1002030</t>
  </si>
  <si>
    <t>250 mg + 1.25 mg com rev est bl al plas inc x 30</t>
  </si>
  <si>
    <t>500 mg + 2.5 mg com rev est bl al plas inc x 30</t>
  </si>
  <si>
    <t>500 mg + 5 mg com rev est bl al plas inc x 30</t>
  </si>
  <si>
    <t>80 mg com rev ct bl al plas inc x 30 (*)</t>
  </si>
  <si>
    <t>1 mg + 50 mg + 50 mg + 50 mg com rev ct cart bl al pvdc inc x 4</t>
  </si>
  <si>
    <t>500 mg + 5 mg com rev est bl al plas inc x 10</t>
  </si>
  <si>
    <t>2.5 mg com rev est cart bl al plas inc x 14</t>
  </si>
  <si>
    <t>5 mg com rev est cart bl al plas inc x 14</t>
  </si>
  <si>
    <t>BR1000155</t>
  </si>
  <si>
    <t>BR1001106</t>
  </si>
  <si>
    <t>BR1001130</t>
  </si>
  <si>
    <t>BR1001131</t>
  </si>
  <si>
    <t>BR1004011</t>
  </si>
  <si>
    <t>BR1004012</t>
  </si>
  <si>
    <t>BR1003881</t>
  </si>
  <si>
    <t>BR1000310</t>
  </si>
  <si>
    <r>
      <t xml:space="preserve">500 mg com est cart fr plas opc x 50 </t>
    </r>
    <r>
      <rPr>
        <b/>
        <sz val="9"/>
        <rFont val="Arial"/>
        <family val="2"/>
      </rPr>
      <t>(***)</t>
    </r>
  </si>
  <si>
    <t>F6721201</t>
  </si>
  <si>
    <t>F6741201</t>
  </si>
  <si>
    <t>BR1007906</t>
  </si>
  <si>
    <t>BR1002031</t>
  </si>
  <si>
    <t>BR1007111</t>
  </si>
  <si>
    <t>BR1007905</t>
  </si>
  <si>
    <t>BR1003014</t>
  </si>
  <si>
    <t>750 mg com ap ct bl al plas inc x 10</t>
  </si>
  <si>
    <t>750 mg com ap ct bl al plas inc x 30</t>
  </si>
  <si>
    <t>BR1002035</t>
  </si>
  <si>
    <t>AZITROMICINA</t>
  </si>
  <si>
    <t>500 mg com rev ct cart bl plas inc x 2</t>
  </si>
  <si>
    <t>500 mg com rev ct cart bl plas inc x 3</t>
  </si>
  <si>
    <t>500 mg com rev ct cart bl plas inc x 5</t>
  </si>
  <si>
    <t>200 mg/ml sol or est cart fr vd amb x 30 ml</t>
  </si>
  <si>
    <t>-</t>
  </si>
  <si>
    <t>BR1000616</t>
  </si>
  <si>
    <t>CEBION (ÁCIDO ASCÓRBICO) - apresentações com preços controlados</t>
  </si>
  <si>
    <t>CEBION (ÁCIDO ASCÓRBICO) - apresentações com preços liberados no fabricante / Res. 03/2010 CMED</t>
  </si>
  <si>
    <t>BR1002824</t>
  </si>
  <si>
    <t>ESCLEROVITAN (ACETATO DE RACEALFATOCOFEROL + CLORIDRATO DE PIRIDOXINA + PALMITATO DE RETINOL)</t>
  </si>
  <si>
    <t>FLORATIL PACK (SACCHAROMYCES BOULARDII)</t>
  </si>
  <si>
    <t>PACK 200mg/g + 250mg/1,25g pó oral est cart 3 sach x 1g + 3 sach x 1,25g</t>
  </si>
  <si>
    <t>PACK 200mg/g + 250mg/1,25g pó oral est cart 6 sach x 1g + 6 sach x 1,25g</t>
  </si>
  <si>
    <t>PACK 200mg + 250mg cap gel dura ct bl al al 3 cap x 200mg + 3 cap x 250mg</t>
  </si>
  <si>
    <t>PACK 200mg + 250mg cap gel dura ct bl al al 6 cap x 200mg + 6 cap x 250mg</t>
  </si>
  <si>
    <t>BR1002968</t>
  </si>
  <si>
    <t xml:space="preserve">137 mcg com est cart bl al al x 50 </t>
  </si>
  <si>
    <t>GONAL F (ALFAFOLITROPINA)</t>
  </si>
  <si>
    <t xml:space="preserve">90 meq/l (4,68+2,16+0,98+20,00) mg/ml sol or fr plas trans x 500 ml (sabor natural) </t>
  </si>
  <si>
    <t>BR1003019</t>
  </si>
  <si>
    <t>FN131201</t>
  </si>
  <si>
    <t>FN151201</t>
  </si>
  <si>
    <t>(***) Produto de uso restrito a hospitais - PMC não publicado, conforme determina Resolução CMED no.3 de 04/05/2009, publicada no DOU de 06/11/2009.</t>
  </si>
  <si>
    <t>FLEXIVE CDM (EXTRATO DE SYMPHYTUM OFFICINALE)</t>
  </si>
  <si>
    <t>350mg/mg crem derm ct bg al x 50 g</t>
  </si>
  <si>
    <t>350mg/mg crem derm ct bg al x 25 g</t>
  </si>
  <si>
    <t>500mg com lib mod ct bl al/al x 30</t>
  </si>
  <si>
    <t>1 G com eferv est cart tb plas x 10 sabor laranja</t>
  </si>
  <si>
    <r>
      <t xml:space="preserve">88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50 </t>
    </r>
  </si>
  <si>
    <r>
      <t xml:space="preserve">112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50</t>
    </r>
  </si>
  <si>
    <t>1000 mg + 5 mg com rev est bl al pvc/pvdc inc X 30</t>
  </si>
  <si>
    <t>BR1004411</t>
  </si>
  <si>
    <t>BR1004409</t>
  </si>
  <si>
    <t>BR1004437</t>
  </si>
  <si>
    <t>1 g com ct bl al plas inc X 10 XR</t>
  </si>
  <si>
    <t>1 g com ct bl al plas inc X 30 XR</t>
  </si>
  <si>
    <t>F7541201</t>
  </si>
  <si>
    <t>PERGOVERIS (ALFAFOLITROPINA+ALFALUTROPINA)</t>
  </si>
  <si>
    <t>150 UI/75 UI pó liof inj ct fa vd inc + fa dil X 1 ml</t>
  </si>
  <si>
    <t>PRAVASTATINA</t>
  </si>
  <si>
    <t>INTA200006474</t>
  </si>
  <si>
    <t>INTA200006475</t>
  </si>
  <si>
    <t>INTA200006476</t>
  </si>
  <si>
    <t>CO1F0334</t>
  </si>
  <si>
    <t xml:space="preserve">45 meq/l (2,05+2,16+0,98+22,75) mg/ml sol or fr plas trans x 500 ml (sabor maça) </t>
  </si>
  <si>
    <t xml:space="preserve">45 meq/l (2,05+2,16+0,98+22,75)mg/ml sol or fr plas trans x 500 ml (sabor coco) </t>
  </si>
  <si>
    <t>BR1003016</t>
  </si>
  <si>
    <t>BR1003029</t>
  </si>
  <si>
    <t>80mg/g gel vag ct 7 env al poliet x 1 aplic x 1,125g</t>
  </si>
  <si>
    <t>80mg/g gel vag ct 15 env al poliet x 1 aplic x 1,125g</t>
  </si>
  <si>
    <t>ALIMENTOS (1) - LISTA NEUTRA</t>
  </si>
  <si>
    <t>0,25 mg po liof ct fa vd inc + 1 ser dil + 2 agulhas + 2 toalhas </t>
  </si>
  <si>
    <t>3g enema est cart env + Dil x 100 ml (*) (**)</t>
  </si>
  <si>
    <t>250 mg sup ret est str x 10 (*) (**)</t>
  </si>
  <si>
    <t>10 mg com rev ct cart bl al plas inc x 10 (*) (**)</t>
  </si>
  <si>
    <t>10 mg com rev ct cart bl al plas inc x 30 (*) (**)</t>
  </si>
  <si>
    <t>20 mg com rev ct cart bl al plas inc x 10 (*) (**)</t>
  </si>
  <si>
    <t>20 mg com rev ct cart bl al plas inc x 30 (*) (**)</t>
  </si>
  <si>
    <t>40 mg com rev ct bl al plas inc x 10 (*) (**)</t>
  </si>
  <si>
    <t>40 mg com rev ct bl al plas inc x 30 (*) (**)</t>
  </si>
  <si>
    <t>1mg com rev ct bl al plas inc x 30 (*) (**)</t>
  </si>
  <si>
    <t>2mg com rev ct bl al plas inc x 30 (*) (**)</t>
  </si>
  <si>
    <t>3mg com rev ct bl al plas inc x 30 (*) (**)</t>
  </si>
  <si>
    <r>
      <t xml:space="preserve">50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50 (*) (**)</t>
    </r>
  </si>
  <si>
    <r>
      <t xml:space="preserve">100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50 (*) (**)</t>
    </r>
  </si>
  <si>
    <t>500mg com rev ct bl al plas inc x 6 (*) (**)</t>
  </si>
  <si>
    <t>500mg com rev ct bl al plas inc x 14 (*) (**)</t>
  </si>
  <si>
    <t>5 mg com ct bl al plas opc x 20 (**)</t>
  </si>
  <si>
    <t>5 mg com ct bl al plas opc x 30 (**)</t>
  </si>
  <si>
    <t>10 mg com ct 3 bl al plas opc x 10 (**)</t>
  </si>
  <si>
    <t>5 mg com ct cart bl al plas opc x 30 (**)</t>
  </si>
  <si>
    <r>
      <t xml:space="preserve">25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30 (*) (**)</t>
    </r>
  </si>
  <si>
    <r>
      <t xml:space="preserve">50 mcg com est cart bl al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x 30 (*) (**)</t>
    </r>
  </si>
  <si>
    <t>10 mg com ct bl al/al x 30 (*) (**)</t>
  </si>
  <si>
    <t>20 mg com ct bl al/al x 30 (*) (**)</t>
  </si>
  <si>
    <t>40 mg com ct bl al/al x 30 (*) (**)</t>
  </si>
  <si>
    <t>22 mcg/6 MUI cx c/12 seringas pronta p/uso c/ 0,5 ml (*) (**)</t>
  </si>
  <si>
    <t>44 mcg/12 MUI cx c/12 seringas pronta p/uso c/ 0,5 ml (*) (**)</t>
  </si>
  <si>
    <t>4 UI (1,33 mg) cx c/1 fr amp pó liofilizado p/inj + 1 amp solvente (*) (**)</t>
  </si>
  <si>
    <t>3 mg/ml pó liof inj ct amp vd inc + sol dil x 1 ml (***)</t>
  </si>
  <si>
    <t>5mg/ml sol inj ct fa vd inc x 20ml (****)</t>
  </si>
  <si>
    <t>5mg/ml sol inj ct fa vd inc x 100ml (****)</t>
  </si>
  <si>
    <t>5 mg com ct bl al plas opc x 60 (**)</t>
  </si>
  <si>
    <t xml:space="preserve">(*) Produtos beneficiados com a Isenção de ICMS nas vendas para Órgãos da Administração Pública Direta e Indireta Federal, Estadual e Municipal e suas fundações públicas - </t>
  </si>
  <si>
    <r>
      <t>150 mcg com est cart bl al</t>
    </r>
    <r>
      <rPr>
        <b/>
        <sz val="9"/>
        <rFont val="Arial"/>
        <family val="2"/>
      </rPr>
      <t xml:space="preserve"> al</t>
    </r>
    <r>
      <rPr>
        <sz val="9"/>
        <rFont val="Arial"/>
        <family val="2"/>
      </rPr>
      <t xml:space="preserve"> x 30 (*)</t>
    </r>
  </si>
  <si>
    <t>50 mg com ct bl al plas inc x 10</t>
  </si>
  <si>
    <t>50 mg com ct bl al plas inc x 30</t>
  </si>
  <si>
    <t>BR1003056</t>
  </si>
  <si>
    <t>BR1003057</t>
  </si>
  <si>
    <t>BR1003059</t>
  </si>
  <si>
    <t>BR1003058</t>
  </si>
  <si>
    <t>BR1003061</t>
  </si>
  <si>
    <t>BR1003067</t>
  </si>
  <si>
    <t>BR1003062</t>
  </si>
  <si>
    <t>BR1003063</t>
  </si>
  <si>
    <t>CONCOR HCT (FUMARATO DE BISOPROLOL + HIDROCLOROTIAZIDA)</t>
  </si>
  <si>
    <t>5 mg +12,5 mg com ct bl al x 30</t>
  </si>
  <si>
    <t>10 mg + 25 mg com ct bl al x 30</t>
  </si>
  <si>
    <t>BR1008035</t>
  </si>
  <si>
    <t>BR1008038</t>
  </si>
  <si>
    <t>BR1008016</t>
  </si>
  <si>
    <t>BR1008020</t>
  </si>
  <si>
    <t>BR1008017</t>
  </si>
  <si>
    <t xml:space="preserve">90 meq/l (4,68+2,16+0,98+20,00) mg/ml sol or fr plas trans x 500 ml (sabor coco) </t>
  </si>
  <si>
    <t>BR1008043</t>
  </si>
  <si>
    <t>BR1008050</t>
  </si>
  <si>
    <t>BR1008047</t>
  </si>
  <si>
    <t>BR1008054</t>
  </si>
  <si>
    <t>BR1008045</t>
  </si>
  <si>
    <t>BR1008046</t>
  </si>
  <si>
    <t>20 mg com rev ct cart bl al plas inc x 28</t>
  </si>
  <si>
    <t>ICMS - 0%</t>
  </si>
  <si>
    <t>BR1008018</t>
  </si>
  <si>
    <t>CLORIDRATO DE SERTRALINA</t>
  </si>
  <si>
    <t>BR1000230</t>
  </si>
  <si>
    <t>50 mg com rev ct bl al plas inc x 30</t>
  </si>
  <si>
    <t>300 UI (22 mcg) sol inj sc ct can aplic car vd trans x 0,5ml</t>
  </si>
  <si>
    <t>450 UI (33 mcg) sol inj sc ct can aplic car vd trans x 0,75ml</t>
  </si>
  <si>
    <t>900 UI (66 mcg) sol inj sc ct can aplic car vd trans x 1,5ml</t>
  </si>
  <si>
    <t>500 mg com rev ct cart 3 bl al plas inc x 10 (**)</t>
  </si>
  <si>
    <t>500 mg com rev ct cart 4 bl al plas inc x 15 (**)</t>
  </si>
  <si>
    <t>500 mg com rev est bl al plas inc x 30 (**)</t>
  </si>
  <si>
    <r>
      <t>(****) Produto beneficiado com a Isenção de ICMS nas operações internas e interestaduais, conforme estabelecido na Resolução SEFAZ/RJ n</t>
    </r>
    <r>
      <rPr>
        <i/>
        <sz val="10"/>
        <rFont val="Calibri"/>
        <family val="2"/>
      </rPr>
      <t>º</t>
    </r>
    <r>
      <rPr>
        <i/>
        <sz val="10"/>
        <rFont val="Arial"/>
        <family val="2"/>
      </rPr>
      <t xml:space="preserve"> 505 de 29/06/2012 (Convênio ICMS nº 162/94, com as alterações introduzidas pelo Conv. ICMS nº 118/2011)</t>
    </r>
  </si>
  <si>
    <t>ALGINAC RETARD (POLIVITAMINAS - VITAMINAS B1/B6/B12 + DICLOFENACO SÓDICO)</t>
  </si>
  <si>
    <t>1 mg + 100 mg + 100 mg + 100 mg com rev lib retard ct bl al al x 4</t>
  </si>
  <si>
    <t>1 mg + 100 mg + 100 mg + 100 mg com rev lib retard ct bl al al x 10</t>
  </si>
  <si>
    <t>BR1008065</t>
  </si>
  <si>
    <t>DEXA-CITONEURIN NFF (POLIVITAMINAS - B1/B6/B12 + FOSFATO DISSÓDICO DE DEXAMETASONA)</t>
  </si>
  <si>
    <t>(100 mg + 100 mg) + (5 mg + 4,37 mg) sol inj im ct 3 amp vd amb X 1 ml + 3 amp vd amb X 2 ml</t>
  </si>
  <si>
    <t>MX12177</t>
  </si>
  <si>
    <t xml:space="preserve">Inj. 1000 (100 + 100)mg/ml sol inj im cx cama 3 amp vd amb X 1 ml + 1000 mcg/ml 3 amp X 1 ml </t>
  </si>
  <si>
    <t xml:space="preserve">Inj. 5000 (100 + 100)mg/ml sol inj im cx cama 3 amp vd amb X 1 ml + 5000 mcg/ml 3 amp X 1 ml </t>
  </si>
  <si>
    <t>5,83 mg/ml sol inj fr amp vd inc X 1,03 ml </t>
  </si>
  <si>
    <t>8 mg/ml sol inj fr amp vd inc X 1,5 ml</t>
  </si>
  <si>
    <t>8 mg/ml sol inj fr amp vd inc X 2,5 ml</t>
  </si>
  <si>
    <t>F1251201</t>
  </si>
  <si>
    <t>F1211201</t>
  </si>
  <si>
    <t>F1231201</t>
  </si>
  <si>
    <t>500 mg com ação prol est ct bl al plas inc x 30 (*) (**)</t>
  </si>
  <si>
    <t>850 mg com rev est bl al plas inc x 30 (*) (**)</t>
  </si>
  <si>
    <t>50mg com rev est cart bl al plas inc x 10 (*) (**)</t>
  </si>
  <si>
    <t>50mg com rev est cart bl al plas inc x 30 (*) (**)</t>
  </si>
  <si>
    <t>850 mg com rev ct 3 bl al plas inc x 10 (*) (**)</t>
  </si>
  <si>
    <t>850 mg com rev ct 6 bl al plas inc x 10 (*) (**)</t>
  </si>
  <si>
    <t>250 mcg sol inj ct can aplic car vd trans X 0,5 ml</t>
  </si>
  <si>
    <t>F54G1203</t>
  </si>
  <si>
    <t>BION 3 (OUTROS POLIVITAMÍNICOS COM MINERAIS)</t>
  </si>
  <si>
    <t>30 comprimidos</t>
  </si>
  <si>
    <r>
      <t xml:space="preserve">(**) Conforme Lei nº 4.086 de 13/03/2003, </t>
    </r>
    <r>
      <rPr>
        <sz val="10"/>
        <color indexed="10"/>
        <rFont val="Arial"/>
        <family val="2"/>
      </rPr>
      <t>com vigência prorrogada até 31/12/2018</t>
    </r>
    <r>
      <rPr>
        <sz val="10"/>
        <rFont val="Arial"/>
        <family val="2"/>
      </rPr>
      <t xml:space="preserve"> de acordo com Lei Complementar nº 151/2013,  nas vendas efetuadas </t>
    </r>
    <r>
      <rPr>
        <b/>
        <sz val="10"/>
        <rFont val="Arial"/>
        <family val="2"/>
      </rPr>
      <t>dentro do estado do</t>
    </r>
  </si>
  <si>
    <r>
      <t xml:space="preserve">      </t>
    </r>
    <r>
      <rPr>
        <b/>
        <sz val="10"/>
        <rFont val="Arial"/>
        <family val="2"/>
      </rPr>
      <t xml:space="preserve">Rio de Janeiro </t>
    </r>
    <r>
      <rPr>
        <sz val="10"/>
        <rFont val="Arial"/>
        <family val="2"/>
      </rPr>
      <t>para clientes que não sejam os órgãos acima mencionados, a alíquota interna de ICMS a ser praticada para os produtos, constantes da Portaria nº 1.318/02</t>
    </r>
  </si>
  <si>
    <t xml:space="preserve">      Combate à Pobreza e às Desigualdades Sociais (FECP). </t>
  </si>
  <si>
    <r>
      <t xml:space="preserve">300 mg + 100 mg + 2,94 mg cap gel mole est cart tb plas x 30 </t>
    </r>
    <r>
      <rPr>
        <b/>
        <sz val="9"/>
        <rFont val="Arial"/>
        <family val="2"/>
      </rPr>
      <t>(1)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</si>
  <si>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Produtos não controlados</t>
    </r>
  </si>
  <si>
    <t>(100 mg + 100 mg) + (5 mg + 4,37 mg) sol inj im ct 1 amp vd amb X 1 ml + 1 amp vd amb X 2 ml</t>
  </si>
  <si>
    <t>CUORE (BISSULFATO DE CLOPIDOGREL)</t>
  </si>
  <si>
    <t>500 mg com AP ct bl al plas inc x 30 (*) (**)</t>
  </si>
  <si>
    <t>750 mg com AP ct bl al plas inc x 30</t>
  </si>
  <si>
    <t>PRENEURIN (PREGABALINA)</t>
  </si>
  <si>
    <t>75 mg cap gel dura ct bl al pvc / aclar x 30</t>
  </si>
  <si>
    <t>150 mg cap gel dura ct bl al pvc / aclar x 30</t>
  </si>
  <si>
    <t>SINVASTATINA</t>
  </si>
  <si>
    <t>10 mg com rev ct bl al plas inc x 30 (*) (**)</t>
  </si>
  <si>
    <t>20 mg com rev ct bl al plas inc x 30 (*) (**)</t>
  </si>
  <si>
    <t>CLORIDRATO DE METFORMINA AÇÃO PROLONGADA (AP)</t>
  </si>
  <si>
    <t xml:space="preserve">5000 mcg + 100 mg + 100 mg drg est ct bl al al x 20 </t>
  </si>
  <si>
    <t>5000 mcg + 100 mg + 100 mg + 75 mg sol inj cx c/ cama 1 amp vd amb x 1 ml + 1 amp vd amb x 2 ml</t>
  </si>
  <si>
    <t xml:space="preserve">Inj. 1000 (100 + 100)mg/ml sol inj im cx cama 1 amp vd amb X 1 ml + 1000 mcg/ml 1 amp X 1 ml </t>
  </si>
  <si>
    <t xml:space="preserve">Inj. 5000 (100 + 100)mg/ml sol inj im cx cama 1 amp vd amb X 1 ml + 5000 mcg/ml 1 amp X 1 ml </t>
  </si>
  <si>
    <t>LUBRINAT (HIALURONATO DE SÓDIO)</t>
  </si>
  <si>
    <t>PREGABALINA</t>
  </si>
  <si>
    <t>75 mg cap gel dura ct bl al pvc/aclar x 30</t>
  </si>
  <si>
    <t>150 mg cap gel dura ct bl al pvc/aclar x 30</t>
  </si>
  <si>
    <t>Gel hidratante intravaginal bisnaga 30g com 10 aplicadores</t>
  </si>
  <si>
    <t>PRODUTO PARA A SAÚDE (1) - LISTA NEUTRA</t>
  </si>
  <si>
    <t>5000 mcg + 100 mg + 100 mg drg est ct bl al al amb x 60</t>
  </si>
  <si>
    <t>CLORIDRATO DE FLUOXETINA</t>
  </si>
  <si>
    <t>20 mg com rev ct bl al plas inc x 28</t>
  </si>
  <si>
    <t>KUVAN (DICLORIDRATO DE SAPROPTERINA)</t>
  </si>
  <si>
    <t>FSP11202</t>
  </si>
  <si>
    <t>100 mg com ct fr plas opc x 30</t>
  </si>
  <si>
    <r>
      <t xml:space="preserve">    Convênio ICMS nº 087/02 e suas atualizações. </t>
    </r>
    <r>
      <rPr>
        <sz val="10"/>
        <color rgb="FFFF0000"/>
        <rFont val="Arial"/>
        <family val="2"/>
      </rPr>
      <t>Vigência prorrogada até 30/04/2017 através do Convênio ICMS  nº  107 de 02/10/2015, publicado no DOU em 08/10/2015.</t>
    </r>
  </si>
  <si>
    <t>ICMS - 17,5%</t>
  </si>
  <si>
    <t>ICMS - 20%</t>
  </si>
  <si>
    <r>
      <t xml:space="preserve">      do Ministério da Saúde (</t>
    </r>
    <r>
      <rPr>
        <sz val="10"/>
        <color indexed="10"/>
        <rFont val="Arial"/>
        <family val="2"/>
      </rPr>
      <t>atualizada pela Portaria nº 1.554 de 30/07/2013</t>
    </r>
    <r>
      <rPr>
        <sz val="10"/>
        <rFont val="Arial"/>
        <family val="2"/>
      </rPr>
      <t>), é de 18% ao invés de 20%, devido a não incidência do adicional de 2% referente ao Fundo de</t>
    </r>
  </si>
  <si>
    <r>
      <rPr>
        <b/>
        <sz val="10"/>
        <rFont val="Arial"/>
        <family val="2"/>
      </rPr>
      <t xml:space="preserve">PF - Preço Fábrica </t>
    </r>
    <r>
      <rPr>
        <sz val="10"/>
        <rFont val="Arial"/>
        <family val="2"/>
      </rPr>
      <t xml:space="preserve">é o teto de preço pelo qual um laboratório ou distribuidor de medicamentos pode comercializar no mercado brasileiro um medicamento que produz; </t>
    </r>
  </si>
  <si>
    <r>
      <rPr>
        <b/>
        <sz val="10"/>
        <rFont val="Arial"/>
        <family val="2"/>
      </rPr>
      <t>PMC - Preço Máximo ao Consumidor</t>
    </r>
    <r>
      <rPr>
        <sz val="10"/>
        <rFont val="Arial"/>
        <family val="2"/>
      </rPr>
      <t xml:space="preserve"> é o preço a ser praticado pelo comércio varejista, ou seja, farmácias e drogarias ( Orientação Interpretativa nº 02, 13/11/2006 – CMED).</t>
    </r>
  </si>
  <si>
    <t>75 mg com rev ct bl al al x 14 (**)</t>
  </si>
  <si>
    <t>75 mg com rev ct bl al al x 28 (**)</t>
  </si>
  <si>
    <t>FLORATIL AT (SACCHAROMYCES BOULARDII)</t>
  </si>
  <si>
    <t>250 mg /1,25 g pó or ct 6 sach x 1,25 g</t>
  </si>
  <si>
    <t>250 mg / 1,25 g pó or ct 10 env al / plas x 1,25 g</t>
  </si>
  <si>
    <t>250 mg cap gel dura ct bl al al x 6</t>
  </si>
  <si>
    <t>250 mg cap gel dura ct bl al al x 10</t>
  </si>
  <si>
    <t>25 mcg com est cart bl al al x 50 (*) (**)</t>
  </si>
  <si>
    <t>150 mcg com est cart bl al al x 50 (*)</t>
  </si>
  <si>
    <t>1 g com revi ct bl al plas inc x 30</t>
  </si>
  <si>
    <t>100 mcg com est cart bl al al x 30 (*) (**)</t>
  </si>
  <si>
    <t>1,25 mg com rev est cart bl al al x 20</t>
  </si>
  <si>
    <t>1,25 mg com rev est cart bl al al x 30</t>
  </si>
  <si>
    <t>2,5 mg com rev est cart bl al al x 20</t>
  </si>
  <si>
    <t>2,5 mg com rev est cart bl al al x 30</t>
  </si>
  <si>
    <t>5 mg com rev est cart bl al al x 20</t>
  </si>
  <si>
    <t>5 mg com rev est cart bl al al x 30</t>
  </si>
  <si>
    <t>10 mg com rev est cart bl al al x 20</t>
  </si>
  <si>
    <t>10 mg com rev est cart bl al al x 30</t>
  </si>
  <si>
    <t xml:space="preserve">125 mcg com est cart bl al al x 50 </t>
  </si>
  <si>
    <t>CANDESSA (CANDESARTANA)</t>
  </si>
  <si>
    <t>CANDESSA HCT (CANDESARTANA + HIDROCLOROTIAZIDA)</t>
  </si>
  <si>
    <t>8 mg com ct bl al plas opc x 30</t>
  </si>
  <si>
    <t>16 mg com ct bl al plas opc x 20</t>
  </si>
  <si>
    <t>16 mg com ct bl al plas opc x 30</t>
  </si>
  <si>
    <t>8 mg + 12,5 mg com ct bl al plas opc x 30</t>
  </si>
  <si>
    <t>16 mg + 12,5 mg com ct bl al plas opc x 20</t>
  </si>
  <si>
    <t>16 mg + 12,5 mg com ct bl al plas opc x 30</t>
  </si>
  <si>
    <t>F1991207</t>
  </si>
  <si>
    <t>F19D1207</t>
  </si>
  <si>
    <t>F19B1207</t>
  </si>
  <si>
    <t>60 comprimidos</t>
  </si>
  <si>
    <r>
      <t xml:space="preserve">MERCK S.A. </t>
    </r>
    <r>
      <rPr>
        <sz val="9"/>
        <rFont val="Arial"/>
        <family val="2"/>
      </rPr>
      <t>- Avenida das Nações Unidas, 12.995 - 30° andar; 04578-000 São Paulo, SP Fone:(11) 2250-6750</t>
    </r>
  </si>
  <si>
    <r>
      <rPr>
        <b/>
        <sz val="10"/>
        <rFont val="Arial"/>
        <family val="2"/>
      </rPr>
      <t>Alíquotas</t>
    </r>
    <r>
      <rPr>
        <sz val="10"/>
        <rFont val="Arial"/>
        <family val="2"/>
      </rPr>
      <t xml:space="preserve"> - ICMS 20% - RJ; ICMS 18% - AM, AP, BA, MA, MG, PB, PE, PI, PR, RN, RS, SE, SP, TO; ICMS 17,5% - RO; ICMS 17% - Demais Estados; ICMS 12% - Genéricos de SP e MG. </t>
    </r>
  </si>
  <si>
    <t>LISTA DE PREÇOS EM REAIS - ABRIL DE 2017</t>
  </si>
  <si>
    <t>CMED</t>
  </si>
  <si>
    <t>Conferência</t>
  </si>
  <si>
    <t>ESTA LISTA ENTRA EM VIGOR A PARTIR DE 01-04-2017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</si>
</sst>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0000"/>
    <numFmt numFmtId="167" formatCode="_(* #,##0.000_);_(* \(#,##0.000\);_(* &quot;-&quot;??_);_(@_)"/>
  </numFmts>
  <fonts count="47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Clarendon Cn BT"/>
      <family val="1"/>
    </font>
    <font>
      <b/>
      <sz val="16"/>
      <name val="Clarendon BT"/>
      <family val="1"/>
    </font>
    <font>
      <b/>
      <sz val="20"/>
      <name val="Clarendon"/>
    </font>
    <font>
      <b/>
      <sz val="14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i/>
      <sz val="11"/>
      <name val="Clarendon BT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10"/>
      <name val="Arial"/>
      <family val="2"/>
    </font>
    <font>
      <b/>
      <sz val="12"/>
      <name val="Clarendon BT"/>
      <family val="1"/>
    </font>
    <font>
      <b/>
      <sz val="8"/>
      <name val="Arial"/>
      <family val="2"/>
    </font>
    <font>
      <sz val="9"/>
      <name val="Clarendon BT"/>
      <family val="1"/>
    </font>
    <font>
      <b/>
      <sz val="11"/>
      <name val="Arial"/>
      <family val="2"/>
    </font>
    <font>
      <sz val="8"/>
      <name val="Clarendon BT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sz val="22"/>
      <color indexed="10"/>
      <name val="Arial"/>
      <family val="2"/>
    </font>
    <font>
      <b/>
      <i/>
      <sz val="11"/>
      <name val="Clarendon BT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0033CC"/>
      <name val="Arial"/>
      <family val="2"/>
    </font>
    <font>
      <i/>
      <sz val="10"/>
      <name val="Arial"/>
      <family val="2"/>
    </font>
    <font>
      <i/>
      <sz val="10"/>
      <name val="Calibri"/>
      <family val="2"/>
    </font>
    <font>
      <sz val="10"/>
      <color indexed="10"/>
      <name val="Arial"/>
      <family val="2"/>
    </font>
    <font>
      <b/>
      <i/>
      <sz val="11"/>
      <color rgb="FFFF0000"/>
      <name val="Clarendon BT"/>
      <family val="1"/>
    </font>
    <font>
      <i/>
      <sz val="11"/>
      <name val="Clarendon BT"/>
      <family val="1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sz val="10"/>
      <name val="MS Sans Serif"/>
      <family val="2"/>
    </font>
    <font>
      <b/>
      <sz val="9"/>
      <name val="Clarendon Cn BT"/>
      <family val="1"/>
    </font>
    <font>
      <b/>
      <sz val="9"/>
      <name val="Clarendon BT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/>
    <xf numFmtId="165" fontId="1" fillId="0" borderId="0" applyFont="0" applyFill="0" applyBorder="0" applyAlignment="0" applyProtection="0"/>
  </cellStyleXfs>
  <cellXfs count="733"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right"/>
    </xf>
    <xf numFmtId="0" fontId="2" fillId="2" borderId="0" xfId="0" quotePrefix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/>
    <xf numFmtId="165" fontId="4" fillId="2" borderId="0" xfId="2" applyFont="1" applyFill="1"/>
    <xf numFmtId="165" fontId="5" fillId="2" borderId="0" xfId="2" applyFont="1" applyFill="1" applyAlignment="1">
      <alignment horizontal="right"/>
    </xf>
    <xf numFmtId="1" fontId="6" fillId="3" borderId="1" xfId="3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165" fontId="7" fillId="2" borderId="0" xfId="2" applyFont="1" applyFill="1" applyBorder="1" applyAlignment="1">
      <alignment horizontal="center"/>
    </xf>
    <xf numFmtId="0" fontId="7" fillId="0" borderId="0" xfId="0" applyFont="1" applyBorder="1"/>
    <xf numFmtId="166" fontId="8" fillId="0" borderId="0" xfId="0" applyNumberFormat="1" applyFont="1" applyBorder="1" applyAlignment="1">
      <alignment horizontal="center"/>
    </xf>
    <xf numFmtId="165" fontId="7" fillId="2" borderId="0" xfId="2" applyFont="1" applyFill="1" applyBorder="1"/>
    <xf numFmtId="165" fontId="7" fillId="0" borderId="0" xfId="2" applyFont="1" applyBorder="1"/>
    <xf numFmtId="166" fontId="7" fillId="2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5" fontId="10" fillId="2" borderId="2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Continuous" vertical="center"/>
    </xf>
    <xf numFmtId="165" fontId="10" fillId="2" borderId="2" xfId="2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166" fontId="9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5" fontId="10" fillId="2" borderId="5" xfId="2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top"/>
    </xf>
    <xf numFmtId="0" fontId="11" fillId="4" borderId="6" xfId="0" applyFont="1" applyFill="1" applyBorder="1" applyAlignment="1">
      <alignment vertical="center"/>
    </xf>
    <xf numFmtId="0" fontId="0" fillId="4" borderId="6" xfId="0" applyFill="1" applyBorder="1"/>
    <xf numFmtId="165" fontId="12" fillId="4" borderId="6" xfId="2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5" fontId="14" fillId="0" borderId="0" xfId="2" applyFont="1" applyAlignment="1">
      <alignment horizontal="right" vertical="center"/>
    </xf>
    <xf numFmtId="165" fontId="14" fillId="0" borderId="0" xfId="2" applyFont="1" applyBorder="1" applyAlignment="1">
      <alignment horizontal="right" vertical="center"/>
    </xf>
    <xf numFmtId="165" fontId="14" fillId="0" borderId="0" xfId="2" applyFont="1" applyBorder="1" applyAlignment="1">
      <alignment vertical="center"/>
    </xf>
    <xf numFmtId="0" fontId="11" fillId="4" borderId="6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1" fillId="4" borderId="6" xfId="0" applyFont="1" applyFill="1" applyBorder="1"/>
    <xf numFmtId="165" fontId="17" fillId="4" borderId="6" xfId="2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4" fillId="0" borderId="0" xfId="2" applyFont="1" applyFill="1" applyAlignment="1">
      <alignment horizontal="right" vertical="center"/>
    </xf>
    <xf numFmtId="165" fontId="14" fillId="0" borderId="0" xfId="2" applyFont="1" applyFill="1" applyBorder="1" applyAlignment="1">
      <alignment vertical="center"/>
    </xf>
    <xf numFmtId="165" fontId="14" fillId="0" borderId="0" xfId="2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10" fillId="2" borderId="2" xfId="2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Continuous" vertical="center"/>
    </xf>
    <xf numFmtId="0" fontId="0" fillId="5" borderId="0" xfId="0" applyFill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Continuous" vertical="center"/>
    </xf>
    <xf numFmtId="166" fontId="10" fillId="2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65" fontId="10" fillId="2" borderId="5" xfId="2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165" fontId="19" fillId="6" borderId="6" xfId="2" applyFont="1" applyFill="1" applyBorder="1" applyAlignment="1">
      <alignment horizontal="right" vertical="center"/>
    </xf>
    <xf numFmtId="9" fontId="19" fillId="6" borderId="6" xfId="2" applyNumberFormat="1" applyFont="1" applyFill="1" applyBorder="1" applyAlignment="1">
      <alignment horizontal="left" vertical="center"/>
    </xf>
    <xf numFmtId="0" fontId="14" fillId="0" borderId="0" xfId="0" applyFont="1" applyBorder="1"/>
    <xf numFmtId="9" fontId="1" fillId="7" borderId="0" xfId="1" applyFill="1" applyAlignment="1">
      <alignment vertical="center"/>
    </xf>
    <xf numFmtId="0" fontId="18" fillId="8" borderId="4" xfId="0" applyFont="1" applyFill="1" applyBorder="1" applyAlignment="1">
      <alignment horizontal="centerContinuous" vertical="center"/>
    </xf>
    <xf numFmtId="0" fontId="0" fillId="8" borderId="0" xfId="0" applyFill="1" applyAlignment="1">
      <alignment horizontal="centerContinuous" vertical="center"/>
    </xf>
    <xf numFmtId="0" fontId="10" fillId="2" borderId="7" xfId="0" applyFont="1" applyFill="1" applyBorder="1" applyAlignment="1">
      <alignment horizontal="centerContinuous" vertical="center"/>
    </xf>
    <xf numFmtId="165" fontId="10" fillId="2" borderId="7" xfId="2" applyFont="1" applyFill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13" fillId="0" borderId="0" xfId="0" applyNumberFormat="1" applyFont="1" applyBorder="1" applyAlignment="1">
      <alignment horizontal="center"/>
    </xf>
    <xf numFmtId="165" fontId="14" fillId="0" borderId="0" xfId="2" applyFont="1" applyBorder="1" applyAlignment="1">
      <alignment horizontal="right"/>
    </xf>
    <xf numFmtId="9" fontId="1" fillId="0" borderId="0" xfId="1" applyAlignment="1">
      <alignment vertical="center"/>
    </xf>
    <xf numFmtId="166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2" fillId="0" borderId="0" xfId="0" applyFont="1" applyBorder="1"/>
    <xf numFmtId="0" fontId="20" fillId="0" borderId="0" xfId="0" applyFont="1" applyBorder="1"/>
    <xf numFmtId="165" fontId="1" fillId="0" borderId="0" xfId="2" applyBorder="1" applyAlignment="1">
      <alignment horizontal="center"/>
    </xf>
    <xf numFmtId="165" fontId="21" fillId="0" borderId="0" xfId="2" applyFont="1" applyBorder="1" applyAlignment="1">
      <alignment horizontal="left" vertical="top"/>
    </xf>
    <xf numFmtId="166" fontId="1" fillId="0" borderId="0" xfId="0" applyNumberFormat="1" applyFont="1" applyBorder="1" applyAlignment="1">
      <alignment horizontal="center"/>
    </xf>
    <xf numFmtId="165" fontId="1" fillId="0" borderId="0" xfId="2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2"/>
    <xf numFmtId="0" fontId="9" fillId="2" borderId="0" xfId="0" applyFont="1" applyFill="1" applyBorder="1" applyAlignment="1">
      <alignment horizontal="center" vertical="top"/>
    </xf>
    <xf numFmtId="0" fontId="0" fillId="0" borderId="2" xfId="0" applyBorder="1" applyAlignment="1">
      <alignment vertical="center"/>
    </xf>
    <xf numFmtId="165" fontId="21" fillId="0" borderId="0" xfId="2" applyFont="1" applyBorder="1" applyAlignment="1">
      <alignment horizontal="right" vertical="top"/>
    </xf>
    <xf numFmtId="0" fontId="17" fillId="0" borderId="0" xfId="0" applyFont="1" applyBorder="1"/>
    <xf numFmtId="0" fontId="22" fillId="0" borderId="0" xfId="0" applyFont="1" applyBorder="1"/>
    <xf numFmtId="165" fontId="14" fillId="0" borderId="0" xfId="2" applyFont="1" applyAlignment="1">
      <alignment vertic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166" fontId="13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Protection="1"/>
    <xf numFmtId="166" fontId="1" fillId="0" borderId="0" xfId="0" applyNumberFormat="1" applyFont="1" applyAlignment="1" applyProtection="1">
      <alignment horizontal="center"/>
    </xf>
    <xf numFmtId="165" fontId="1" fillId="0" borderId="0" xfId="2" applyProtection="1"/>
    <xf numFmtId="166" fontId="1" fillId="0" borderId="0" xfId="0" applyNumberFormat="1" applyFont="1" applyBorder="1" applyAlignment="1" applyProtection="1">
      <alignment horizontal="center"/>
    </xf>
    <xf numFmtId="165" fontId="1" fillId="0" borderId="0" xfId="2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20" fillId="0" borderId="0" xfId="0" applyFont="1" applyBorder="1" applyProtection="1"/>
    <xf numFmtId="0" fontId="9" fillId="2" borderId="0" xfId="0" applyFont="1" applyFill="1" applyBorder="1" applyAlignment="1" applyProtection="1">
      <alignment horizontal="center" vertical="center"/>
    </xf>
    <xf numFmtId="0" fontId="27" fillId="0" borderId="0" xfId="0" applyFont="1" applyProtection="1"/>
    <xf numFmtId="0" fontId="25" fillId="0" borderId="0" xfId="0" applyFont="1" applyBorder="1" applyProtection="1"/>
    <xf numFmtId="0" fontId="1" fillId="6" borderId="9" xfId="0" applyFont="1" applyFill="1" applyBorder="1" applyAlignment="1" applyProtection="1">
      <alignment horizontal="left" vertical="center"/>
    </xf>
    <xf numFmtId="0" fontId="11" fillId="4" borderId="9" xfId="0" applyFont="1" applyFill="1" applyBorder="1" applyAlignment="1" applyProtection="1">
      <alignment vertical="center"/>
    </xf>
    <xf numFmtId="0" fontId="0" fillId="4" borderId="9" xfId="0" applyFill="1" applyBorder="1" applyProtection="1"/>
    <xf numFmtId="165" fontId="10" fillId="2" borderId="10" xfId="2" applyFont="1" applyFill="1" applyBorder="1" applyAlignment="1" applyProtection="1">
      <alignment horizontal="center" vertical="center"/>
    </xf>
    <xf numFmtId="165" fontId="10" fillId="2" borderId="11" xfId="2" applyFont="1" applyFill="1" applyBorder="1" applyAlignment="1" applyProtection="1">
      <alignment horizontal="center" vertical="center"/>
    </xf>
    <xf numFmtId="165" fontId="10" fillId="2" borderId="12" xfId="2" applyFont="1" applyFill="1" applyBorder="1" applyAlignment="1" applyProtection="1">
      <alignment horizontal="center" vertical="center"/>
    </xf>
    <xf numFmtId="165" fontId="10" fillId="2" borderId="13" xfId="2" applyFont="1" applyFill="1" applyBorder="1" applyAlignment="1" applyProtection="1">
      <alignment horizontal="center" vertical="center"/>
    </xf>
    <xf numFmtId="165" fontId="10" fillId="2" borderId="14" xfId="2" applyFont="1" applyFill="1" applyBorder="1" applyAlignment="1" applyProtection="1">
      <alignment horizontal="center" vertical="center"/>
    </xf>
    <xf numFmtId="165" fontId="10" fillId="2" borderId="15" xfId="2" applyFont="1" applyFill="1" applyBorder="1" applyAlignment="1" applyProtection="1">
      <alignment horizontal="center" vertical="center"/>
    </xf>
    <xf numFmtId="165" fontId="26" fillId="0" borderId="0" xfId="2" applyFont="1" applyBorder="1" applyAlignment="1" applyProtection="1">
      <alignment horizontal="right" vertical="center"/>
    </xf>
    <xf numFmtId="0" fontId="11" fillId="6" borderId="9" xfId="0" applyFont="1" applyFill="1" applyBorder="1" applyAlignment="1" applyProtection="1">
      <alignment horizontal="left" vertical="center"/>
    </xf>
    <xf numFmtId="166" fontId="7" fillId="2" borderId="17" xfId="0" applyNumberFormat="1" applyFont="1" applyFill="1" applyBorder="1" applyAlignment="1" applyProtection="1">
      <alignment horizontal="center" vertical="center"/>
    </xf>
    <xf numFmtId="166" fontId="13" fillId="0" borderId="1" xfId="0" applyNumberFormat="1" applyFont="1" applyBorder="1" applyAlignment="1" applyProtection="1">
      <alignment horizontal="center" vertical="center"/>
    </xf>
    <xf numFmtId="166" fontId="13" fillId="0" borderId="14" xfId="0" applyNumberFormat="1" applyFont="1" applyBorder="1" applyAlignment="1" applyProtection="1">
      <alignment horizontal="center" vertical="center"/>
    </xf>
    <xf numFmtId="166" fontId="13" fillId="0" borderId="19" xfId="0" applyNumberFormat="1" applyFont="1" applyBorder="1" applyAlignment="1" applyProtection="1">
      <alignment horizontal="center" vertical="center"/>
    </xf>
    <xf numFmtId="166" fontId="7" fillId="2" borderId="11" xfId="0" applyNumberFormat="1" applyFont="1" applyFill="1" applyBorder="1" applyAlignment="1" applyProtection="1">
      <alignment horizontal="center" vertical="center"/>
    </xf>
    <xf numFmtId="166" fontId="9" fillId="2" borderId="21" xfId="0" applyNumberFormat="1" applyFont="1" applyFill="1" applyBorder="1" applyAlignment="1" applyProtection="1">
      <alignment horizontal="center" vertical="center"/>
    </xf>
    <xf numFmtId="166" fontId="13" fillId="0" borderId="16" xfId="0" applyNumberFormat="1" applyFont="1" applyBorder="1" applyAlignment="1" applyProtection="1">
      <alignment horizontal="center" vertical="center"/>
    </xf>
    <xf numFmtId="166" fontId="13" fillId="0" borderId="21" xfId="0" applyNumberFormat="1" applyFont="1" applyBorder="1" applyAlignment="1" applyProtection="1">
      <alignment horizontal="center" vertical="center"/>
    </xf>
    <xf numFmtId="166" fontId="13" fillId="0" borderId="14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166" fontId="13" fillId="0" borderId="16" xfId="0" applyNumberFormat="1" applyFont="1" applyFill="1" applyBorder="1" applyAlignment="1" applyProtection="1">
      <alignment horizontal="center" vertical="center"/>
    </xf>
    <xf numFmtId="165" fontId="14" fillId="0" borderId="0" xfId="2" applyFont="1" applyFill="1" applyBorder="1" applyAlignment="1" applyProtection="1">
      <alignment horizontal="right" vertical="center"/>
    </xf>
    <xf numFmtId="166" fontId="13" fillId="0" borderId="2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/>
    </xf>
    <xf numFmtId="165" fontId="10" fillId="0" borderId="11" xfId="2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166" fontId="13" fillId="0" borderId="23" xfId="0" applyNumberFormat="1" applyFont="1" applyBorder="1" applyAlignment="1" applyProtection="1">
      <alignment horizontal="center" vertical="center"/>
    </xf>
    <xf numFmtId="166" fontId="13" fillId="0" borderId="1" xfId="0" applyNumberFormat="1" applyFont="1" applyFill="1" applyBorder="1" applyAlignment="1" applyProtection="1">
      <alignment horizontal="center" vertical="center"/>
    </xf>
    <xf numFmtId="166" fontId="14" fillId="0" borderId="0" xfId="0" applyNumberFormat="1" applyFont="1" applyBorder="1" applyAlignment="1" applyProtection="1">
      <alignment horizontal="center" vertical="center"/>
    </xf>
    <xf numFmtId="0" fontId="11" fillId="6" borderId="22" xfId="0" applyFont="1" applyFill="1" applyBorder="1" applyAlignment="1" applyProtection="1">
      <alignment horizontal="left" vertical="center"/>
    </xf>
    <xf numFmtId="166" fontId="1" fillId="0" borderId="0" xfId="0" applyNumberFormat="1" applyFont="1" applyBorder="1" applyAlignment="1" applyProtection="1">
      <alignment horizontal="left"/>
    </xf>
    <xf numFmtId="166" fontId="13" fillId="0" borderId="0" xfId="0" applyNumberFormat="1" applyFont="1" applyFill="1" applyBorder="1" applyAlignment="1" applyProtection="1">
      <alignment horizontal="center" vertical="center"/>
    </xf>
    <xf numFmtId="166" fontId="14" fillId="0" borderId="24" xfId="0" applyNumberFormat="1" applyFont="1" applyFill="1" applyBorder="1" applyAlignment="1" applyProtection="1">
      <alignment horizontal="center" vertical="center"/>
    </xf>
    <xf numFmtId="166" fontId="14" fillId="0" borderId="16" xfId="0" applyNumberFormat="1" applyFont="1" applyFill="1" applyBorder="1" applyAlignment="1" applyProtection="1">
      <alignment horizontal="center" vertical="center"/>
    </xf>
    <xf numFmtId="166" fontId="14" fillId="0" borderId="21" xfId="0" applyNumberFormat="1" applyFont="1" applyBorder="1" applyAlignment="1" applyProtection="1">
      <alignment horizontal="center" vertical="center"/>
    </xf>
    <xf numFmtId="167" fontId="14" fillId="0" borderId="0" xfId="2" applyNumberFormat="1" applyFont="1" applyFill="1" applyBorder="1" applyAlignment="1" applyProtection="1">
      <alignment horizontal="right" vertical="center"/>
    </xf>
    <xf numFmtId="167" fontId="1" fillId="0" borderId="0" xfId="2" applyNumberForma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center"/>
    </xf>
    <xf numFmtId="167" fontId="0" fillId="0" borderId="0" xfId="0" applyNumberFormat="1" applyBorder="1" applyProtection="1"/>
    <xf numFmtId="166" fontId="13" fillId="2" borderId="16" xfId="0" applyNumberFormat="1" applyFont="1" applyFill="1" applyBorder="1" applyAlignment="1" applyProtection="1">
      <alignment horizontal="center" vertical="center"/>
    </xf>
    <xf numFmtId="166" fontId="13" fillId="2" borderId="14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165" fontId="10" fillId="0" borderId="12" xfId="2" applyFont="1" applyFill="1" applyBorder="1" applyAlignment="1" applyProtection="1">
      <alignment horizontal="center" vertical="center"/>
    </xf>
    <xf numFmtId="166" fontId="13" fillId="9" borderId="0" xfId="0" applyNumberFormat="1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vertical="center"/>
    </xf>
    <xf numFmtId="0" fontId="0" fillId="4" borderId="22" xfId="0" applyFill="1" applyBorder="1" applyProtection="1"/>
    <xf numFmtId="166" fontId="9" fillId="2" borderId="30" xfId="0" applyNumberFormat="1" applyFont="1" applyFill="1" applyBorder="1" applyAlignment="1" applyProtection="1">
      <alignment horizontal="center" vertical="center"/>
    </xf>
    <xf numFmtId="166" fontId="7" fillId="2" borderId="19" xfId="0" applyNumberFormat="1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65" fontId="10" fillId="2" borderId="19" xfId="2" applyFont="1" applyFill="1" applyBorder="1" applyAlignment="1" applyProtection="1">
      <alignment horizontal="center" vertical="center"/>
    </xf>
    <xf numFmtId="165" fontId="10" fillId="2" borderId="31" xfId="2" applyFont="1" applyFill="1" applyBorder="1" applyAlignment="1" applyProtection="1">
      <alignment horizontal="center" vertical="center"/>
    </xf>
    <xf numFmtId="165" fontId="10" fillId="0" borderId="19" xfId="2" applyFont="1" applyFill="1" applyBorder="1" applyAlignment="1" applyProtection="1">
      <alignment horizontal="center" vertical="center"/>
    </xf>
    <xf numFmtId="165" fontId="10" fillId="0" borderId="32" xfId="2" applyFont="1" applyFill="1" applyBorder="1" applyAlignment="1" applyProtection="1">
      <alignment horizontal="center" vertical="center"/>
    </xf>
    <xf numFmtId="165" fontId="10" fillId="2" borderId="32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166" fontId="9" fillId="2" borderId="19" xfId="0" applyNumberFormat="1" applyFont="1" applyFill="1" applyBorder="1" applyAlignment="1" applyProtection="1">
      <alignment horizontal="center" vertical="center"/>
    </xf>
    <xf numFmtId="0" fontId="14" fillId="9" borderId="0" xfId="0" applyFont="1" applyFill="1" applyBorder="1" applyProtection="1"/>
    <xf numFmtId="2" fontId="14" fillId="9" borderId="24" xfId="0" applyNumberFormat="1" applyFont="1" applyFill="1" applyBorder="1" applyAlignment="1" applyProtection="1">
      <alignment horizontal="right"/>
      <protection locked="0"/>
    </xf>
    <xf numFmtId="2" fontId="14" fillId="9" borderId="10" xfId="0" applyNumberFormat="1" applyFont="1" applyFill="1" applyBorder="1" applyAlignment="1" applyProtection="1">
      <alignment horizontal="right"/>
      <protection locked="0"/>
    </xf>
    <xf numFmtId="2" fontId="14" fillId="9" borderId="12" xfId="0" applyNumberFormat="1" applyFont="1" applyFill="1" applyBorder="1" applyAlignment="1" applyProtection="1">
      <alignment horizontal="right"/>
      <protection locked="0"/>
    </xf>
    <xf numFmtId="166" fontId="1" fillId="9" borderId="34" xfId="0" applyNumberFormat="1" applyFont="1" applyFill="1" applyBorder="1" applyAlignment="1" applyProtection="1">
      <alignment horizontal="center"/>
    </xf>
    <xf numFmtId="165" fontId="1" fillId="9" borderId="34" xfId="2" applyFill="1" applyBorder="1" applyAlignment="1" applyProtection="1">
      <alignment horizontal="center"/>
    </xf>
    <xf numFmtId="166" fontId="13" fillId="0" borderId="23" xfId="0" applyNumberFormat="1" applyFont="1" applyFill="1" applyBorder="1" applyAlignment="1" applyProtection="1">
      <alignment horizontal="center" vertical="center"/>
    </xf>
    <xf numFmtId="166" fontId="7" fillId="2" borderId="35" xfId="0" applyNumberFormat="1" applyFont="1" applyFill="1" applyBorder="1" applyAlignment="1" applyProtection="1">
      <alignment horizontal="center" vertical="center"/>
    </xf>
    <xf numFmtId="166" fontId="9" fillId="2" borderId="31" xfId="0" applyNumberFormat="1" applyFont="1" applyFill="1" applyBorder="1" applyAlignment="1" applyProtection="1">
      <alignment horizontal="center" vertical="center"/>
    </xf>
    <xf numFmtId="166" fontId="13" fillId="0" borderId="10" xfId="0" applyNumberFormat="1" applyFont="1" applyFill="1" applyBorder="1" applyAlignment="1" applyProtection="1">
      <alignment horizontal="center" vertical="center"/>
    </xf>
    <xf numFmtId="166" fontId="13" fillId="2" borderId="10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 applyProtection="1">
      <alignment horizontal="center" vertical="center"/>
    </xf>
    <xf numFmtId="166" fontId="13" fillId="0" borderId="36" xfId="0" applyNumberFormat="1" applyFont="1" applyFill="1" applyBorder="1" applyAlignment="1" applyProtection="1">
      <alignment horizontal="center" vertical="center"/>
    </xf>
    <xf numFmtId="166" fontId="9" fillId="2" borderId="36" xfId="0" applyNumberFormat="1" applyFont="1" applyFill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left" vertical="center"/>
    </xf>
    <xf numFmtId="166" fontId="13" fillId="0" borderId="13" xfId="0" applyNumberFormat="1" applyFont="1" applyFill="1" applyBorder="1" applyAlignment="1" applyProtection="1">
      <alignment horizontal="center" vertical="center"/>
    </xf>
    <xf numFmtId="2" fontId="12" fillId="4" borderId="39" xfId="2" applyNumberFormat="1" applyFont="1" applyFill="1" applyBorder="1" applyAlignment="1" applyProtection="1">
      <alignment horizontal="center" vertical="center"/>
    </xf>
    <xf numFmtId="2" fontId="12" fillId="4" borderId="36" xfId="2" applyNumberFormat="1" applyFont="1" applyFill="1" applyBorder="1" applyAlignment="1" applyProtection="1">
      <alignment horizontal="center" vertical="center"/>
    </xf>
    <xf numFmtId="2" fontId="12" fillId="4" borderId="40" xfId="2" applyNumberFormat="1" applyFont="1" applyFill="1" applyBorder="1" applyAlignment="1" applyProtection="1">
      <alignment horizontal="center" vertical="center"/>
    </xf>
    <xf numFmtId="2" fontId="12" fillId="4" borderId="13" xfId="2" applyNumberFormat="1" applyFont="1" applyFill="1" applyBorder="1" applyAlignment="1" applyProtection="1">
      <alignment horizontal="center" vertical="center"/>
    </xf>
    <xf numFmtId="2" fontId="15" fillId="4" borderId="39" xfId="2" applyNumberFormat="1" applyFont="1" applyFill="1" applyBorder="1" applyAlignment="1" applyProtection="1">
      <alignment horizontal="center" vertical="center"/>
    </xf>
    <xf numFmtId="2" fontId="15" fillId="4" borderId="36" xfId="2" applyNumberFormat="1" applyFont="1" applyFill="1" applyBorder="1" applyAlignment="1" applyProtection="1">
      <alignment horizontal="center" vertical="center"/>
    </xf>
    <xf numFmtId="2" fontId="15" fillId="4" borderId="42" xfId="2" applyNumberFormat="1" applyFont="1" applyFill="1" applyBorder="1" applyAlignment="1" applyProtection="1">
      <alignment horizontal="center" vertical="center"/>
    </xf>
    <xf numFmtId="2" fontId="15" fillId="4" borderId="43" xfId="2" applyNumberFormat="1" applyFont="1" applyFill="1" applyBorder="1" applyAlignment="1" applyProtection="1">
      <alignment horizontal="center" vertical="center"/>
    </xf>
    <xf numFmtId="2" fontId="15" fillId="4" borderId="47" xfId="2" applyNumberFormat="1" applyFont="1" applyFill="1" applyBorder="1" applyAlignment="1" applyProtection="1">
      <alignment horizontal="center" vertical="center"/>
    </xf>
    <xf numFmtId="2" fontId="15" fillId="4" borderId="50" xfId="2" applyNumberFormat="1" applyFont="1" applyFill="1" applyBorder="1" applyAlignment="1" applyProtection="1">
      <alignment horizontal="center" vertical="center"/>
    </xf>
    <xf numFmtId="2" fontId="12" fillId="4" borderId="15" xfId="2" applyNumberFormat="1" applyFont="1" applyFill="1" applyBorder="1" applyAlignment="1" applyProtection="1">
      <alignment horizontal="center" vertical="center"/>
    </xf>
    <xf numFmtId="2" fontId="26" fillId="6" borderId="40" xfId="2" applyNumberFormat="1" applyFont="1" applyFill="1" applyBorder="1" applyAlignment="1" applyProtection="1">
      <alignment horizontal="right" vertical="center"/>
    </xf>
    <xf numFmtId="2" fontId="26" fillId="6" borderId="13" xfId="2" applyNumberFormat="1" applyFont="1" applyFill="1" applyBorder="1" applyAlignment="1" applyProtection="1">
      <alignment horizontal="left" vertical="center"/>
    </xf>
    <xf numFmtId="2" fontId="26" fillId="6" borderId="15" xfId="2" applyNumberFormat="1" applyFont="1" applyFill="1" applyBorder="1" applyAlignment="1" applyProtection="1">
      <alignment horizontal="left" vertical="center"/>
    </xf>
    <xf numFmtId="2" fontId="28" fillId="2" borderId="10" xfId="2" applyNumberFormat="1" applyFont="1" applyFill="1" applyBorder="1" applyAlignment="1" applyProtection="1">
      <alignment horizontal="center" vertical="center"/>
    </xf>
    <xf numFmtId="2" fontId="28" fillId="2" borderId="12" xfId="2" applyNumberFormat="1" applyFont="1" applyFill="1" applyBorder="1" applyAlignment="1" applyProtection="1">
      <alignment horizontal="center" vertical="center"/>
    </xf>
    <xf numFmtId="2" fontId="28" fillId="2" borderId="21" xfId="2" applyNumberFormat="1" applyFont="1" applyFill="1" applyBorder="1" applyAlignment="1" applyProtection="1">
      <alignment horizontal="center" vertical="center"/>
    </xf>
    <xf numFmtId="2" fontId="29" fillId="2" borderId="11" xfId="2" applyNumberFormat="1" applyFont="1" applyFill="1" applyBorder="1" applyAlignment="1" applyProtection="1">
      <alignment horizontal="center" vertical="center"/>
    </xf>
    <xf numFmtId="2" fontId="29" fillId="2" borderId="10" xfId="2" applyNumberFormat="1" applyFont="1" applyFill="1" applyBorder="1" applyAlignment="1" applyProtection="1">
      <alignment horizontal="center" vertical="center"/>
    </xf>
    <xf numFmtId="2" fontId="29" fillId="2" borderId="12" xfId="2" applyNumberFormat="1" applyFont="1" applyFill="1" applyBorder="1" applyAlignment="1" applyProtection="1">
      <alignment horizontal="center" vertical="center"/>
    </xf>
    <xf numFmtId="166" fontId="7" fillId="2" borderId="10" xfId="0" applyNumberFormat="1" applyFont="1" applyFill="1" applyBorder="1" applyAlignment="1" applyProtection="1">
      <alignment horizontal="center" vertical="center"/>
    </xf>
    <xf numFmtId="166" fontId="7" fillId="2" borderId="16" xfId="0" applyNumberFormat="1" applyFont="1" applyFill="1" applyBorder="1" applyAlignment="1" applyProtection="1">
      <alignment horizontal="center" vertical="center"/>
    </xf>
    <xf numFmtId="2" fontId="28" fillId="2" borderId="16" xfId="2" applyNumberFormat="1" applyFont="1" applyFill="1" applyBorder="1" applyAlignment="1" applyProtection="1">
      <alignment horizontal="center" vertical="center"/>
    </xf>
    <xf numFmtId="166" fontId="13" fillId="0" borderId="24" xfId="0" applyNumberFormat="1" applyFont="1" applyFill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vertical="center"/>
    </xf>
    <xf numFmtId="0" fontId="11" fillId="6" borderId="22" xfId="0" applyFont="1" applyFill="1" applyBorder="1" applyAlignment="1" applyProtection="1">
      <alignment vertical="center"/>
    </xf>
    <xf numFmtId="0" fontId="31" fillId="6" borderId="22" xfId="0" applyFont="1" applyFill="1" applyBorder="1" applyAlignment="1" applyProtection="1">
      <alignment vertical="center"/>
    </xf>
    <xf numFmtId="0" fontId="32" fillId="6" borderId="22" xfId="0" applyFont="1" applyFill="1" applyBorder="1" applyProtection="1"/>
    <xf numFmtId="166" fontId="13" fillId="0" borderId="29" xfId="0" applyNumberFormat="1" applyFont="1" applyFill="1" applyBorder="1" applyAlignment="1" applyProtection="1">
      <alignment horizontal="center" vertical="center"/>
    </xf>
    <xf numFmtId="166" fontId="14" fillId="2" borderId="21" xfId="0" applyNumberFormat="1" applyFont="1" applyFill="1" applyBorder="1" applyAlignment="1" applyProtection="1">
      <alignment horizontal="center" vertical="center"/>
    </xf>
    <xf numFmtId="2" fontId="12" fillId="4" borderId="26" xfId="2" applyNumberFormat="1" applyFont="1" applyFill="1" applyBorder="1" applyAlignment="1" applyProtection="1">
      <alignment horizontal="center" vertical="center"/>
    </xf>
    <xf numFmtId="2" fontId="12" fillId="4" borderId="27" xfId="2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22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13" fillId="0" borderId="0" xfId="0" applyFont="1" applyBorder="1" applyProtection="1"/>
    <xf numFmtId="0" fontId="13" fillId="0" borderId="13" xfId="0" applyFont="1" applyFill="1" applyBorder="1" applyProtection="1"/>
    <xf numFmtId="0" fontId="13" fillId="0" borderId="36" xfId="0" applyFont="1" applyFill="1" applyBorder="1" applyProtection="1"/>
    <xf numFmtId="0" fontId="13" fillId="0" borderId="36" xfId="0" applyFont="1" applyBorder="1" applyProtection="1"/>
    <xf numFmtId="2" fontId="29" fillId="2" borderId="19" xfId="2" applyNumberFormat="1" applyFont="1" applyFill="1" applyBorder="1" applyAlignment="1" applyProtection="1">
      <alignment horizontal="center" vertical="center"/>
    </xf>
    <xf numFmtId="2" fontId="29" fillId="2" borderId="31" xfId="2" applyNumberFormat="1" applyFont="1" applyFill="1" applyBorder="1" applyAlignment="1" applyProtection="1">
      <alignment horizontal="center" vertical="center"/>
    </xf>
    <xf numFmtId="2" fontId="29" fillId="2" borderId="32" xfId="2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vertical="center"/>
    </xf>
    <xf numFmtId="1" fontId="25" fillId="0" borderId="5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" fontId="25" fillId="0" borderId="58" xfId="0" applyNumberFormat="1" applyFont="1" applyFill="1" applyBorder="1" applyAlignment="1" applyProtection="1">
      <alignment horizontal="center"/>
      <protection locked="0"/>
    </xf>
    <xf numFmtId="1" fontId="25" fillId="0" borderId="58" xfId="0" quotePrefix="1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</xf>
    <xf numFmtId="1" fontId="25" fillId="0" borderId="56" xfId="0" applyNumberFormat="1" applyFont="1" applyFill="1" applyBorder="1" applyAlignment="1" applyProtection="1">
      <alignment horizontal="center"/>
      <protection locked="0"/>
    </xf>
    <xf numFmtId="1" fontId="12" fillId="0" borderId="56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2" fontId="17" fillId="9" borderId="34" xfId="2" applyNumberFormat="1" applyFont="1" applyFill="1" applyBorder="1" applyAlignment="1" applyProtection="1">
      <alignment horizontal="center"/>
    </xf>
    <xf numFmtId="2" fontId="17" fillId="9" borderId="34" xfId="0" applyNumberFormat="1" applyFont="1" applyFill="1" applyBorder="1" applyProtection="1"/>
    <xf numFmtId="2" fontId="17" fillId="9" borderId="34" xfId="0" applyNumberFormat="1" applyFont="1" applyFill="1" applyBorder="1" applyAlignment="1" applyProtection="1">
      <alignment horizontal="center"/>
    </xf>
    <xf numFmtId="2" fontId="17" fillId="9" borderId="34" xfId="2" applyNumberFormat="1" applyFont="1" applyFill="1" applyBorder="1" applyProtection="1"/>
    <xf numFmtId="2" fontId="17" fillId="9" borderId="65" xfId="0" applyNumberFormat="1" applyFont="1" applyFill="1" applyBorder="1" applyProtection="1"/>
    <xf numFmtId="165" fontId="9" fillId="2" borderId="11" xfId="2" applyFont="1" applyFill="1" applyBorder="1" applyAlignment="1" applyProtection="1">
      <alignment horizontal="center" vertical="center"/>
    </xf>
    <xf numFmtId="165" fontId="9" fillId="2" borderId="10" xfId="2" applyFont="1" applyFill="1" applyBorder="1" applyAlignment="1" applyProtection="1">
      <alignment horizontal="center" vertical="center"/>
    </xf>
    <xf numFmtId="165" fontId="9" fillId="0" borderId="11" xfId="2" applyFont="1" applyFill="1" applyBorder="1" applyAlignment="1" applyProtection="1">
      <alignment horizontal="center" vertical="center"/>
    </xf>
    <xf numFmtId="165" fontId="9" fillId="0" borderId="12" xfId="2" applyFont="1" applyFill="1" applyBorder="1" applyAlignment="1" applyProtection="1">
      <alignment horizontal="center" vertical="center"/>
    </xf>
    <xf numFmtId="165" fontId="9" fillId="2" borderId="19" xfId="2" applyFont="1" applyFill="1" applyBorder="1" applyAlignment="1" applyProtection="1">
      <alignment horizontal="center" vertical="center"/>
    </xf>
    <xf numFmtId="165" fontId="9" fillId="2" borderId="31" xfId="2" applyFont="1" applyFill="1" applyBorder="1" applyAlignment="1" applyProtection="1">
      <alignment horizontal="center" vertical="center"/>
    </xf>
    <xf numFmtId="165" fontId="9" fillId="0" borderId="19" xfId="2" applyFont="1" applyFill="1" applyBorder="1" applyAlignment="1" applyProtection="1">
      <alignment horizontal="center" vertical="center"/>
    </xf>
    <xf numFmtId="165" fontId="9" fillId="0" borderId="32" xfId="2" applyFont="1" applyFill="1" applyBorder="1" applyAlignment="1" applyProtection="1">
      <alignment horizontal="center" vertical="center"/>
    </xf>
    <xf numFmtId="2" fontId="9" fillId="0" borderId="11" xfId="2" applyNumberFormat="1" applyFont="1" applyFill="1" applyBorder="1" applyAlignment="1" applyProtection="1">
      <alignment horizontal="center" vertical="center"/>
    </xf>
    <xf numFmtId="2" fontId="9" fillId="0" borderId="10" xfId="2" applyNumberFormat="1" applyFont="1" applyFill="1" applyBorder="1" applyAlignment="1" applyProtection="1">
      <alignment horizontal="center" vertical="center"/>
    </xf>
    <xf numFmtId="2" fontId="9" fillId="0" borderId="12" xfId="2" applyNumberFormat="1" applyFont="1" applyFill="1" applyBorder="1" applyAlignment="1" applyProtection="1">
      <alignment horizontal="center" vertical="center"/>
    </xf>
    <xf numFmtId="2" fontId="9" fillId="0" borderId="19" xfId="2" applyNumberFormat="1" applyFont="1" applyFill="1" applyBorder="1" applyAlignment="1" applyProtection="1">
      <alignment horizontal="center" vertical="center"/>
    </xf>
    <xf numFmtId="2" fontId="9" fillId="0" borderId="31" xfId="2" applyNumberFormat="1" applyFont="1" applyFill="1" applyBorder="1" applyAlignment="1" applyProtection="1">
      <alignment horizontal="center" vertical="center"/>
    </xf>
    <xf numFmtId="2" fontId="9" fillId="0" borderId="32" xfId="2" applyNumberFormat="1" applyFont="1" applyFill="1" applyBorder="1" applyAlignment="1" applyProtection="1">
      <alignment horizontal="center" vertical="center"/>
    </xf>
    <xf numFmtId="2" fontId="9" fillId="2" borderId="11" xfId="2" applyNumberFormat="1" applyFont="1" applyFill="1" applyBorder="1" applyAlignment="1" applyProtection="1">
      <alignment horizontal="center" vertical="center"/>
    </xf>
    <xf numFmtId="2" fontId="9" fillId="2" borderId="10" xfId="2" applyNumberFormat="1" applyFont="1" applyFill="1" applyBorder="1" applyAlignment="1" applyProtection="1">
      <alignment horizontal="center" vertical="center"/>
    </xf>
    <xf numFmtId="2" fontId="9" fillId="2" borderId="12" xfId="2" applyNumberFormat="1" applyFont="1" applyFill="1" applyBorder="1" applyAlignment="1" applyProtection="1">
      <alignment horizontal="center" vertical="center"/>
    </xf>
    <xf numFmtId="2" fontId="9" fillId="2" borderId="19" xfId="2" applyNumberFormat="1" applyFont="1" applyFill="1" applyBorder="1" applyAlignment="1" applyProtection="1">
      <alignment horizontal="center" vertical="center"/>
    </xf>
    <xf numFmtId="2" fontId="9" fillId="2" borderId="31" xfId="2" applyNumberFormat="1" applyFont="1" applyFill="1" applyBorder="1" applyAlignment="1" applyProtection="1">
      <alignment horizontal="center" vertical="center"/>
    </xf>
    <xf numFmtId="2" fontId="9" fillId="2" borderId="32" xfId="2" applyNumberFormat="1" applyFont="1" applyFill="1" applyBorder="1" applyAlignment="1" applyProtection="1">
      <alignment horizontal="center" vertical="center"/>
    </xf>
    <xf numFmtId="2" fontId="9" fillId="2" borderId="0" xfId="2" applyNumberFormat="1" applyFont="1" applyFill="1" applyBorder="1" applyAlignment="1" applyProtection="1">
      <alignment horizontal="center" vertical="center"/>
    </xf>
    <xf numFmtId="2" fontId="36" fillId="0" borderId="41" xfId="0" applyNumberFormat="1" applyFont="1" applyBorder="1" applyAlignment="1">
      <alignment horizontal="right" wrapText="1"/>
    </xf>
    <xf numFmtId="2" fontId="36" fillId="0" borderId="48" xfId="0" applyNumberFormat="1" applyFont="1" applyBorder="1" applyAlignment="1">
      <alignment horizontal="right" wrapText="1"/>
    </xf>
    <xf numFmtId="2" fontId="36" fillId="0" borderId="16" xfId="2" applyNumberFormat="1" applyFont="1" applyBorder="1" applyAlignment="1" applyProtection="1">
      <alignment horizontal="right" vertical="center"/>
    </xf>
    <xf numFmtId="2" fontId="36" fillId="0" borderId="46" xfId="2" applyNumberFormat="1" applyFont="1" applyBorder="1" applyAlignment="1" applyProtection="1">
      <alignment horizontal="right" vertical="center"/>
    </xf>
    <xf numFmtId="2" fontId="36" fillId="0" borderId="14" xfId="0" applyNumberFormat="1" applyFont="1" applyBorder="1" applyAlignment="1">
      <alignment horizontal="right" wrapText="1"/>
    </xf>
    <xf numFmtId="2" fontId="36" fillId="0" borderId="45" xfId="0" applyNumberFormat="1" applyFont="1" applyBorder="1" applyAlignment="1">
      <alignment horizontal="right" wrapText="1"/>
    </xf>
    <xf numFmtId="2" fontId="36" fillId="0" borderId="16" xfId="0" applyNumberFormat="1" applyFont="1" applyBorder="1" applyAlignment="1">
      <alignment horizontal="right" wrapText="1"/>
    </xf>
    <xf numFmtId="2" fontId="36" fillId="0" borderId="46" xfId="0" applyNumberFormat="1" applyFont="1" applyBorder="1" applyAlignment="1">
      <alignment horizontal="right" wrapText="1"/>
    </xf>
    <xf numFmtId="2" fontId="36" fillId="0" borderId="21" xfId="0" applyNumberFormat="1" applyFont="1" applyBorder="1" applyAlignment="1">
      <alignment horizontal="right" wrapText="1"/>
    </xf>
    <xf numFmtId="2" fontId="36" fillId="0" borderId="49" xfId="0" applyNumberFormat="1" applyFont="1" applyBorder="1" applyAlignment="1">
      <alignment horizontal="right" wrapText="1"/>
    </xf>
    <xf numFmtId="2" fontId="36" fillId="0" borderId="21" xfId="2" applyNumberFormat="1" applyFont="1" applyBorder="1" applyAlignment="1" applyProtection="1">
      <alignment horizontal="right" vertical="center"/>
    </xf>
    <xf numFmtId="2" fontId="36" fillId="0" borderId="49" xfId="2" applyNumberFormat="1" applyFont="1" applyBorder="1" applyAlignment="1" applyProtection="1">
      <alignment horizontal="right" vertical="center"/>
    </xf>
    <xf numFmtId="2" fontId="36" fillId="0" borderId="16" xfId="2" applyNumberFormat="1" applyFont="1" applyFill="1" applyBorder="1" applyAlignment="1" applyProtection="1">
      <alignment horizontal="right" vertical="center"/>
    </xf>
    <xf numFmtId="2" fontId="36" fillId="0" borderId="46" xfId="2" applyNumberFormat="1" applyFont="1" applyFill="1" applyBorder="1" applyAlignment="1" applyProtection="1">
      <alignment horizontal="right" vertical="center"/>
    </xf>
    <xf numFmtId="2" fontId="36" fillId="0" borderId="19" xfId="2" applyNumberFormat="1" applyFont="1" applyBorder="1" applyAlignment="1" applyProtection="1">
      <alignment horizontal="right" vertical="center"/>
    </xf>
    <xf numFmtId="2" fontId="36" fillId="0" borderId="51" xfId="2" applyNumberFormat="1" applyFont="1" applyFill="1" applyBorder="1" applyAlignment="1" applyProtection="1">
      <alignment horizontal="right" vertical="center"/>
    </xf>
    <xf numFmtId="2" fontId="36" fillId="0" borderId="14" xfId="2" applyNumberFormat="1" applyFont="1" applyFill="1" applyBorder="1" applyAlignment="1" applyProtection="1">
      <alignment horizontal="right" vertical="center"/>
    </xf>
    <xf numFmtId="2" fontId="36" fillId="0" borderId="45" xfId="2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vertical="center"/>
    </xf>
    <xf numFmtId="165" fontId="36" fillId="0" borderId="41" xfId="2" applyFont="1" applyBorder="1" applyAlignment="1">
      <alignment horizontal="right" wrapText="1"/>
    </xf>
    <xf numFmtId="165" fontId="36" fillId="0" borderId="48" xfId="2" applyFont="1" applyBorder="1" applyAlignment="1">
      <alignment horizontal="right" wrapText="1"/>
    </xf>
    <xf numFmtId="165" fontId="36" fillId="0" borderId="14" xfId="2" applyFont="1" applyBorder="1" applyAlignment="1">
      <alignment horizontal="right" wrapText="1"/>
    </xf>
    <xf numFmtId="165" fontId="36" fillId="0" borderId="45" xfId="2" applyFont="1" applyBorder="1" applyAlignment="1">
      <alignment horizontal="right" wrapText="1"/>
    </xf>
    <xf numFmtId="165" fontId="36" fillId="0" borderId="16" xfId="2" applyFont="1" applyBorder="1" applyAlignment="1">
      <alignment horizontal="right" wrapText="1"/>
    </xf>
    <xf numFmtId="165" fontId="36" fillId="0" borderId="46" xfId="2" applyFont="1" applyBorder="1" applyAlignment="1">
      <alignment horizontal="right" wrapText="1"/>
    </xf>
    <xf numFmtId="165" fontId="15" fillId="4" borderId="40" xfId="2" applyFont="1" applyFill="1" applyBorder="1" applyAlignment="1" applyProtection="1">
      <alignment horizontal="center" vertical="center"/>
    </xf>
    <xf numFmtId="165" fontId="15" fillId="4" borderId="13" xfId="2" applyFont="1" applyFill="1" applyBorder="1" applyAlignment="1" applyProtection="1">
      <alignment horizontal="center" vertical="center"/>
    </xf>
    <xf numFmtId="165" fontId="15" fillId="4" borderId="15" xfId="2" applyFont="1" applyFill="1" applyBorder="1" applyAlignment="1" applyProtection="1">
      <alignment horizontal="center" vertical="center"/>
    </xf>
    <xf numFmtId="165" fontId="36" fillId="0" borderId="21" xfId="2" applyFont="1" applyBorder="1" applyAlignment="1">
      <alignment horizontal="right" wrapText="1"/>
    </xf>
    <xf numFmtId="165" fontId="36" fillId="0" borderId="49" xfId="2" applyFont="1" applyBorder="1" applyAlignment="1">
      <alignment horizontal="right" wrapText="1"/>
    </xf>
    <xf numFmtId="165" fontId="36" fillId="0" borderId="44" xfId="2" applyFont="1" applyBorder="1" applyAlignment="1">
      <alignment horizontal="right" wrapText="1"/>
    </xf>
    <xf numFmtId="165" fontId="36" fillId="0" borderId="14" xfId="2" applyFont="1" applyBorder="1" applyAlignment="1" applyProtection="1">
      <alignment horizontal="right"/>
      <protection locked="0"/>
    </xf>
    <xf numFmtId="165" fontId="15" fillId="6" borderId="24" xfId="2" applyFont="1" applyFill="1" applyBorder="1" applyAlignment="1" applyProtection="1">
      <alignment horizontal="right" vertical="center"/>
    </xf>
    <xf numFmtId="165" fontId="15" fillId="6" borderId="10" xfId="2" applyFont="1" applyFill="1" applyBorder="1" applyAlignment="1" applyProtection="1">
      <alignment horizontal="left" vertical="center"/>
    </xf>
    <xf numFmtId="165" fontId="15" fillId="6" borderId="12" xfId="2" applyFont="1" applyFill="1" applyBorder="1" applyAlignment="1" applyProtection="1">
      <alignment horizontal="left" vertical="center"/>
    </xf>
    <xf numFmtId="165" fontId="15" fillId="6" borderId="39" xfId="2" applyFont="1" applyFill="1" applyBorder="1" applyAlignment="1" applyProtection="1">
      <alignment horizontal="right" vertical="center"/>
    </xf>
    <xf numFmtId="165" fontId="15" fillId="6" borderId="42" xfId="2" applyFont="1" applyFill="1" applyBorder="1" applyAlignment="1" applyProtection="1">
      <alignment horizontal="right" vertical="center"/>
    </xf>
    <xf numFmtId="165" fontId="15" fillId="6" borderId="43" xfId="2" applyFont="1" applyFill="1" applyBorder="1" applyAlignment="1" applyProtection="1">
      <alignment horizontal="left" vertical="center"/>
    </xf>
    <xf numFmtId="165" fontId="15" fillId="6" borderId="50" xfId="2" applyFont="1" applyFill="1" applyBorder="1" applyAlignment="1" applyProtection="1">
      <alignment horizontal="left" vertical="center"/>
    </xf>
    <xf numFmtId="165" fontId="15" fillId="6" borderId="36" xfId="2" applyFont="1" applyFill="1" applyBorder="1" applyAlignment="1" applyProtection="1">
      <alignment horizontal="left" vertical="center"/>
    </xf>
    <xf numFmtId="165" fontId="15" fillId="6" borderId="47" xfId="2" applyFont="1" applyFill="1" applyBorder="1" applyAlignment="1" applyProtection="1">
      <alignment horizontal="left" vertical="center"/>
    </xf>
    <xf numFmtId="165" fontId="26" fillId="6" borderId="42" xfId="2" applyFont="1" applyFill="1" applyBorder="1" applyAlignment="1" applyProtection="1">
      <alignment horizontal="right" vertical="center"/>
    </xf>
    <xf numFmtId="165" fontId="26" fillId="6" borderId="43" xfId="2" applyFont="1" applyFill="1" applyBorder="1" applyAlignment="1" applyProtection="1">
      <alignment horizontal="left" vertical="center"/>
    </xf>
    <xf numFmtId="165" fontId="26" fillId="6" borderId="50" xfId="2" applyFont="1" applyFill="1" applyBorder="1" applyAlignment="1" applyProtection="1">
      <alignment horizontal="left" vertical="center"/>
    </xf>
    <xf numFmtId="165" fontId="26" fillId="6" borderId="24" xfId="2" applyFont="1" applyFill="1" applyBorder="1" applyAlignment="1" applyProtection="1">
      <alignment horizontal="right" vertical="center"/>
    </xf>
    <xf numFmtId="165" fontId="26" fillId="6" borderId="10" xfId="2" applyFont="1" applyFill="1" applyBorder="1" applyAlignment="1" applyProtection="1">
      <alignment horizontal="left" vertical="center"/>
    </xf>
    <xf numFmtId="165" fontId="26" fillId="6" borderId="12" xfId="2" applyFont="1" applyFill="1" applyBorder="1" applyAlignment="1" applyProtection="1">
      <alignment horizontal="left" vertical="center"/>
    </xf>
    <xf numFmtId="165" fontId="26" fillId="6" borderId="9" xfId="2" applyFont="1" applyFill="1" applyBorder="1" applyAlignment="1" applyProtection="1">
      <alignment horizontal="right" vertical="center"/>
    </xf>
    <xf numFmtId="165" fontId="36" fillId="0" borderId="52" xfId="2" applyFont="1" applyBorder="1" applyAlignment="1">
      <alignment horizontal="right" wrapText="1"/>
    </xf>
    <xf numFmtId="166" fontId="13" fillId="0" borderId="39" xfId="0" applyNumberFormat="1" applyFont="1" applyFill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vertical="center"/>
    </xf>
    <xf numFmtId="166" fontId="13" fillId="0" borderId="43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Protection="1"/>
    <xf numFmtId="165" fontId="36" fillId="0" borderId="1" xfId="2" applyFont="1" applyBorder="1" applyAlignment="1" applyProtection="1">
      <alignment horizontal="right"/>
      <protection locked="0"/>
    </xf>
    <xf numFmtId="165" fontId="36" fillId="0" borderId="1" xfId="2" applyFont="1" applyFill="1" applyBorder="1" applyAlignment="1" applyProtection="1">
      <alignment horizontal="right" vertical="center"/>
    </xf>
    <xf numFmtId="165" fontId="36" fillId="0" borderId="68" xfId="2" applyFont="1" applyBorder="1" applyAlignment="1" applyProtection="1">
      <alignment horizontal="right" vertical="center"/>
    </xf>
    <xf numFmtId="0" fontId="13" fillId="0" borderId="22" xfId="0" applyFont="1" applyBorder="1" applyProtection="1"/>
    <xf numFmtId="0" fontId="14" fillId="0" borderId="9" xfId="0" applyFont="1" applyBorder="1" applyProtection="1"/>
    <xf numFmtId="165" fontId="36" fillId="0" borderId="69" xfId="2" applyFont="1" applyBorder="1" applyAlignment="1">
      <alignment horizontal="right" wrapText="1"/>
    </xf>
    <xf numFmtId="165" fontId="36" fillId="0" borderId="70" xfId="2" applyFont="1" applyBorder="1" applyAlignment="1">
      <alignment horizontal="right" wrapText="1"/>
    </xf>
    <xf numFmtId="0" fontId="13" fillId="0" borderId="55" xfId="0" applyFont="1" applyBorder="1" applyProtection="1"/>
    <xf numFmtId="2" fontId="9" fillId="0" borderId="0" xfId="2" applyNumberFormat="1" applyFont="1" applyFill="1" applyBorder="1" applyAlignment="1" applyProtection="1">
      <alignment horizontal="center" vertical="center"/>
    </xf>
    <xf numFmtId="2" fontId="9" fillId="0" borderId="8" xfId="2" applyNumberFormat="1" applyFont="1" applyFill="1" applyBorder="1" applyAlignment="1" applyProtection="1">
      <alignment horizontal="center" vertical="center"/>
    </xf>
    <xf numFmtId="2" fontId="12" fillId="4" borderId="25" xfId="2" applyNumberFormat="1" applyFont="1" applyFill="1" applyBorder="1" applyAlignment="1" applyProtection="1">
      <alignment horizontal="center" vertical="center"/>
    </xf>
    <xf numFmtId="0" fontId="0" fillId="0" borderId="19" xfId="0" applyBorder="1" applyProtection="1"/>
    <xf numFmtId="0" fontId="14" fillId="0" borderId="8" xfId="0" applyFont="1" applyFill="1" applyBorder="1" applyAlignment="1" applyProtection="1">
      <alignment horizontal="center" vertical="center"/>
    </xf>
    <xf numFmtId="2" fontId="13" fillId="0" borderId="19" xfId="0" applyNumberFormat="1" applyFont="1" applyFill="1" applyBorder="1" applyAlignment="1" applyProtection="1">
      <alignment horizontal="center" vertical="center"/>
    </xf>
    <xf numFmtId="2" fontId="36" fillId="0" borderId="19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Protection="1"/>
    <xf numFmtId="2" fontId="36" fillId="0" borderId="1" xfId="2" applyNumberFormat="1" applyFont="1" applyBorder="1" applyAlignment="1" applyProtection="1">
      <alignment horizontal="right" vertical="center"/>
    </xf>
    <xf numFmtId="2" fontId="36" fillId="0" borderId="68" xfId="2" applyNumberFormat="1" applyFont="1" applyBorder="1" applyAlignment="1" applyProtection="1">
      <alignment horizontal="right" vertical="center"/>
    </xf>
    <xf numFmtId="165" fontId="36" fillId="0" borderId="45" xfId="2" applyFont="1" applyBorder="1" applyAlignment="1" applyProtection="1">
      <alignment horizontal="right"/>
      <protection locked="0"/>
    </xf>
    <xf numFmtId="165" fontId="15" fillId="4" borderId="42" xfId="2" applyFont="1" applyFill="1" applyBorder="1" applyAlignment="1" applyProtection="1">
      <alignment horizontal="center" vertical="center"/>
    </xf>
    <xf numFmtId="165" fontId="15" fillId="4" borderId="43" xfId="2" applyFont="1" applyFill="1" applyBorder="1" applyAlignment="1" applyProtection="1">
      <alignment horizontal="center" vertical="center"/>
    </xf>
    <xf numFmtId="165" fontId="15" fillId="4" borderId="50" xfId="2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/>
    </xf>
    <xf numFmtId="0" fontId="40" fillId="11" borderId="22" xfId="0" applyFont="1" applyFill="1" applyBorder="1" applyAlignment="1" applyProtection="1">
      <alignment vertical="center"/>
    </xf>
    <xf numFmtId="0" fontId="11" fillId="11" borderId="9" xfId="0" applyFont="1" applyFill="1" applyBorder="1" applyAlignment="1" applyProtection="1">
      <alignment vertical="center"/>
    </xf>
    <xf numFmtId="166" fontId="13" fillId="12" borderId="19" xfId="0" applyNumberFormat="1" applyFont="1" applyFill="1" applyBorder="1" applyAlignment="1" applyProtection="1">
      <alignment horizontal="center" vertical="center"/>
    </xf>
    <xf numFmtId="0" fontId="13" fillId="12" borderId="8" xfId="0" applyFont="1" applyFill="1" applyBorder="1" applyAlignment="1" applyProtection="1">
      <alignment vertical="center"/>
    </xf>
    <xf numFmtId="0" fontId="11" fillId="11" borderId="9" xfId="0" applyFont="1" applyFill="1" applyBorder="1" applyAlignment="1" applyProtection="1">
      <alignment horizontal="left" vertical="center"/>
    </xf>
    <xf numFmtId="0" fontId="41" fillId="11" borderId="25" xfId="0" applyFont="1" applyFill="1" applyBorder="1" applyAlignment="1" applyProtection="1">
      <alignment horizontal="left" vertical="center"/>
    </xf>
    <xf numFmtId="0" fontId="1" fillId="11" borderId="25" xfId="0" applyFont="1" applyFill="1" applyBorder="1" applyAlignment="1" applyProtection="1">
      <alignment horizontal="left" vertical="center"/>
    </xf>
    <xf numFmtId="165" fontId="13" fillId="11" borderId="53" xfId="2" applyFont="1" applyFill="1" applyBorder="1" applyAlignment="1" applyProtection="1">
      <alignment horizontal="right" vertical="center"/>
    </xf>
    <xf numFmtId="165" fontId="13" fillId="11" borderId="35" xfId="2" applyFont="1" applyFill="1" applyBorder="1" applyAlignment="1" applyProtection="1">
      <alignment horizontal="left" vertical="center"/>
    </xf>
    <xf numFmtId="165" fontId="13" fillId="11" borderId="54" xfId="2" applyFont="1" applyFill="1" applyBorder="1" applyAlignment="1" applyProtection="1">
      <alignment horizontal="left" vertical="center"/>
    </xf>
    <xf numFmtId="166" fontId="13" fillId="12" borderId="10" xfId="0" applyNumberFormat="1" applyFont="1" applyFill="1" applyBorder="1" applyAlignment="1" applyProtection="1">
      <alignment horizontal="center" vertical="center"/>
    </xf>
    <xf numFmtId="166" fontId="13" fillId="12" borderId="14" xfId="0" applyNumberFormat="1" applyFont="1" applyFill="1" applyBorder="1" applyAlignment="1" applyProtection="1">
      <alignment horizontal="center" vertical="center"/>
    </xf>
    <xf numFmtId="0" fontId="13" fillId="12" borderId="0" xfId="0" applyFont="1" applyFill="1" applyBorder="1" applyProtection="1"/>
    <xf numFmtId="166" fontId="13" fillId="12" borderId="16" xfId="0" applyNumberFormat="1" applyFont="1" applyFill="1" applyBorder="1" applyAlignment="1" applyProtection="1">
      <alignment horizontal="center" vertical="center"/>
    </xf>
    <xf numFmtId="166" fontId="13" fillId="12" borderId="36" xfId="0" applyNumberFormat="1" applyFont="1" applyFill="1" applyBorder="1" applyAlignment="1" applyProtection="1">
      <alignment horizontal="center" vertical="center"/>
    </xf>
    <xf numFmtId="166" fontId="13" fillId="12" borderId="21" xfId="0" applyNumberFormat="1" applyFont="1" applyFill="1" applyBorder="1" applyAlignment="1" applyProtection="1">
      <alignment horizontal="center" vertical="center"/>
    </xf>
    <xf numFmtId="0" fontId="13" fillId="12" borderId="22" xfId="0" applyFont="1" applyFill="1" applyBorder="1" applyProtection="1"/>
    <xf numFmtId="165" fontId="36" fillId="12" borderId="14" xfId="2" applyFont="1" applyFill="1" applyBorder="1" applyAlignment="1">
      <alignment horizontal="right" wrapText="1"/>
    </xf>
    <xf numFmtId="165" fontId="36" fillId="12" borderId="45" xfId="2" applyFont="1" applyFill="1" applyBorder="1" applyAlignment="1">
      <alignment horizontal="right" wrapText="1"/>
    </xf>
    <xf numFmtId="165" fontId="36" fillId="12" borderId="16" xfId="2" applyFont="1" applyFill="1" applyBorder="1" applyAlignment="1">
      <alignment horizontal="right" wrapText="1"/>
    </xf>
    <xf numFmtId="165" fontId="36" fillId="12" borderId="46" xfId="2" applyFont="1" applyFill="1" applyBorder="1" applyAlignment="1">
      <alignment horizontal="right" wrapText="1"/>
    </xf>
    <xf numFmtId="165" fontId="36" fillId="12" borderId="21" xfId="2" applyFont="1" applyFill="1" applyBorder="1" applyAlignment="1">
      <alignment horizontal="right" wrapText="1"/>
    </xf>
    <xf numFmtId="165" fontId="36" fillId="12" borderId="49" xfId="2" applyFont="1" applyFill="1" applyBorder="1" applyAlignment="1">
      <alignment horizontal="right" wrapText="1"/>
    </xf>
    <xf numFmtId="0" fontId="14" fillId="0" borderId="9" xfId="0" applyFont="1" applyBorder="1" applyAlignment="1" applyProtection="1">
      <alignment vertical="center"/>
    </xf>
    <xf numFmtId="0" fontId="14" fillId="0" borderId="74" xfId="0" applyFont="1" applyBorder="1" applyAlignment="1" applyProtection="1">
      <alignment vertical="center"/>
    </xf>
    <xf numFmtId="165" fontId="36" fillId="0" borderId="76" xfId="2" applyFont="1" applyBorder="1" applyAlignment="1">
      <alignment horizontal="right" wrapText="1"/>
    </xf>
    <xf numFmtId="165" fontId="36" fillId="0" borderId="77" xfId="2" applyFont="1" applyBorder="1" applyAlignment="1">
      <alignment horizontal="right" wrapText="1"/>
    </xf>
    <xf numFmtId="0" fontId="42" fillId="0" borderId="0" xfId="0" applyFont="1" applyBorder="1" applyProtection="1"/>
    <xf numFmtId="166" fontId="43" fillId="0" borderId="0" xfId="0" applyNumberFormat="1" applyFont="1" applyBorder="1" applyAlignment="1" applyProtection="1">
      <alignment horizontal="center"/>
    </xf>
    <xf numFmtId="0" fontId="43" fillId="0" borderId="0" xfId="0" applyFont="1" applyBorder="1" applyProtection="1"/>
    <xf numFmtId="165" fontId="43" fillId="0" borderId="0" xfId="2" applyFont="1" applyAlignment="1" applyProtection="1">
      <alignment horizontal="center"/>
    </xf>
    <xf numFmtId="0" fontId="43" fillId="0" borderId="0" xfId="0" applyFont="1" applyProtection="1"/>
    <xf numFmtId="166" fontId="43" fillId="0" borderId="0" xfId="0" applyNumberFormat="1" applyFont="1" applyAlignment="1" applyProtection="1">
      <alignment horizontal="center"/>
    </xf>
    <xf numFmtId="165" fontId="43" fillId="0" borderId="0" xfId="2" applyFont="1" applyProtection="1"/>
    <xf numFmtId="14" fontId="1" fillId="0" borderId="0" xfId="4" applyNumberFormat="1" applyFont="1" applyAlignment="1">
      <alignment horizontal="left"/>
    </xf>
    <xf numFmtId="14" fontId="37" fillId="0" borderId="0" xfId="4" applyNumberFormat="1" applyFont="1" applyAlignment="1">
      <alignment horizontal="left"/>
    </xf>
    <xf numFmtId="165" fontId="0" fillId="0" borderId="0" xfId="2" applyFont="1" applyProtection="1"/>
    <xf numFmtId="165" fontId="0" fillId="0" borderId="0" xfId="2" applyFont="1" applyAlignment="1" applyProtection="1">
      <alignment vertical="center"/>
    </xf>
    <xf numFmtId="165" fontId="0" fillId="0" borderId="0" xfId="2" applyFont="1" applyFill="1" applyAlignment="1" applyProtection="1">
      <alignment vertical="center"/>
    </xf>
    <xf numFmtId="165" fontId="12" fillId="0" borderId="0" xfId="2" applyFont="1" applyFill="1" applyAlignment="1" applyProtection="1">
      <alignment vertical="center"/>
    </xf>
    <xf numFmtId="165" fontId="36" fillId="0" borderId="1" xfId="2" applyFont="1" applyBorder="1" applyAlignment="1">
      <alignment horizontal="right" wrapText="1"/>
    </xf>
    <xf numFmtId="165" fontId="36" fillId="0" borderId="68" xfId="2" applyFont="1" applyBorder="1" applyAlignment="1">
      <alignment horizontal="right" wrapText="1"/>
    </xf>
    <xf numFmtId="0" fontId="13" fillId="0" borderId="36" xfId="0" applyFont="1" applyBorder="1" applyAlignment="1" applyProtection="1">
      <alignment vertical="center"/>
    </xf>
    <xf numFmtId="166" fontId="13" fillId="0" borderId="8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Protection="1"/>
    <xf numFmtId="2" fontId="10" fillId="2" borderId="11" xfId="2" applyNumberFormat="1" applyFont="1" applyFill="1" applyBorder="1" applyAlignment="1" applyProtection="1">
      <alignment horizontal="center" vertical="center"/>
    </xf>
    <xf numFmtId="2" fontId="10" fillId="2" borderId="10" xfId="2" applyNumberFormat="1" applyFont="1" applyFill="1" applyBorder="1" applyAlignment="1" applyProtection="1">
      <alignment horizontal="center" vertical="center"/>
    </xf>
    <xf numFmtId="2" fontId="10" fillId="2" borderId="19" xfId="2" applyNumberFormat="1" applyFont="1" applyFill="1" applyBorder="1" applyAlignment="1" applyProtection="1">
      <alignment horizontal="center" vertical="center"/>
    </xf>
    <xf numFmtId="2" fontId="10" fillId="2" borderId="31" xfId="2" applyNumberFormat="1" applyFont="1" applyFill="1" applyBorder="1" applyAlignment="1" applyProtection="1">
      <alignment horizontal="center" vertical="center"/>
    </xf>
    <xf numFmtId="2" fontId="15" fillId="4" borderId="40" xfId="2" applyNumberFormat="1" applyFont="1" applyFill="1" applyBorder="1" applyAlignment="1" applyProtection="1">
      <alignment horizontal="center" vertical="center"/>
    </xf>
    <xf numFmtId="2" fontId="15" fillId="4" borderId="13" xfId="2" applyNumberFormat="1" applyFont="1" applyFill="1" applyBorder="1" applyAlignment="1" applyProtection="1">
      <alignment horizontal="center" vertical="center"/>
    </xf>
    <xf numFmtId="2" fontId="36" fillId="0" borderId="14" xfId="2" applyNumberFormat="1" applyFont="1" applyBorder="1" applyAlignment="1">
      <alignment horizontal="right" wrapText="1"/>
    </xf>
    <xf numFmtId="2" fontId="36" fillId="0" borderId="21" xfId="2" applyNumberFormat="1" applyFont="1" applyBorder="1" applyAlignment="1">
      <alignment horizontal="right" wrapText="1"/>
    </xf>
    <xf numFmtId="2" fontId="36" fillId="0" borderId="16" xfId="2" applyNumberFormat="1" applyFont="1" applyBorder="1" applyAlignment="1">
      <alignment horizontal="right" wrapText="1"/>
    </xf>
    <xf numFmtId="2" fontId="36" fillId="0" borderId="69" xfId="2" applyNumberFormat="1" applyFont="1" applyBorder="1" applyAlignment="1">
      <alignment horizontal="right" wrapText="1"/>
    </xf>
    <xf numFmtId="2" fontId="36" fillId="0" borderId="76" xfId="2" applyNumberFormat="1" applyFont="1" applyBorder="1" applyAlignment="1">
      <alignment horizontal="right" wrapText="1"/>
    </xf>
    <xf numFmtId="1" fontId="12" fillId="0" borderId="29" xfId="2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vertical="center"/>
    </xf>
    <xf numFmtId="0" fontId="12" fillId="0" borderId="22" xfId="0" applyFont="1" applyFill="1" applyBorder="1" applyProtection="1"/>
    <xf numFmtId="2" fontId="12" fillId="0" borderId="39" xfId="2" applyNumberFormat="1" applyFont="1" applyFill="1" applyBorder="1" applyAlignment="1" applyProtection="1">
      <alignment horizontal="center" vertical="center"/>
    </xf>
    <xf numFmtId="2" fontId="12" fillId="0" borderId="36" xfId="2" applyNumberFormat="1" applyFont="1" applyFill="1" applyBorder="1" applyAlignment="1" applyProtection="1">
      <alignment horizontal="center" vertical="center"/>
    </xf>
    <xf numFmtId="2" fontId="12" fillId="0" borderId="47" xfId="2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1" fontId="12" fillId="0" borderId="64" xfId="0" applyNumberFormat="1" applyFont="1" applyFill="1" applyBorder="1" applyAlignment="1" applyProtection="1">
      <alignment horizontal="center"/>
      <protection locked="0"/>
    </xf>
    <xf numFmtId="2" fontId="13" fillId="0" borderId="14" xfId="0" applyNumberFormat="1" applyFont="1" applyFill="1" applyBorder="1" applyAlignment="1">
      <alignment horizontal="left" wrapText="1"/>
    </xf>
    <xf numFmtId="2" fontId="36" fillId="0" borderId="16" xfId="0" applyNumberFormat="1" applyFont="1" applyFill="1" applyBorder="1" applyAlignment="1">
      <alignment horizontal="right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wrapText="1"/>
    </xf>
    <xf numFmtId="2" fontId="36" fillId="0" borderId="46" xfId="0" applyNumberFormat="1" applyFont="1" applyFill="1" applyBorder="1" applyAlignment="1">
      <alignment horizontal="center" wrapText="1"/>
    </xf>
    <xf numFmtId="1" fontId="25" fillId="0" borderId="30" xfId="0" applyNumberFormat="1" applyFont="1" applyFill="1" applyBorder="1" applyAlignment="1" applyProtection="1">
      <alignment horizontal="center"/>
      <protection locked="0"/>
    </xf>
    <xf numFmtId="166" fontId="13" fillId="0" borderId="19" xfId="0" applyNumberFormat="1" applyFont="1" applyFill="1" applyBorder="1" applyAlignment="1" applyProtection="1">
      <alignment horizontal="center" vertical="center"/>
    </xf>
    <xf numFmtId="2" fontId="13" fillId="0" borderId="19" xfId="0" applyNumberFormat="1" applyFont="1" applyFill="1" applyBorder="1" applyAlignment="1">
      <alignment horizontal="left" wrapText="1"/>
    </xf>
    <xf numFmtId="2" fontId="36" fillId="0" borderId="46" xfId="0" applyNumberFormat="1" applyFont="1" applyFill="1" applyBorder="1" applyAlignment="1">
      <alignment horizontal="right" wrapText="1"/>
    </xf>
    <xf numFmtId="165" fontId="36" fillId="0" borderId="14" xfId="2" applyFont="1" applyFill="1" applyBorder="1" applyAlignment="1">
      <alignment horizontal="right" wrapText="1"/>
    </xf>
    <xf numFmtId="2" fontId="36" fillId="0" borderId="14" xfId="2" applyNumberFormat="1" applyFont="1" applyFill="1" applyBorder="1" applyAlignment="1">
      <alignment horizontal="right" wrapText="1"/>
    </xf>
    <xf numFmtId="165" fontId="36" fillId="0" borderId="45" xfId="2" applyFont="1" applyFill="1" applyBorder="1" applyAlignment="1">
      <alignment horizontal="right" wrapText="1"/>
    </xf>
    <xf numFmtId="1" fontId="12" fillId="0" borderId="28" xfId="2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0" fillId="0" borderId="9" xfId="0" applyFill="1" applyBorder="1" applyProtection="1"/>
    <xf numFmtId="165" fontId="15" fillId="0" borderId="40" xfId="2" applyFont="1" applyFill="1" applyBorder="1" applyAlignment="1" applyProtection="1">
      <alignment horizontal="center" vertical="center"/>
    </xf>
    <xf numFmtId="165" fontId="15" fillId="0" borderId="13" xfId="2" applyFont="1" applyFill="1" applyBorder="1" applyAlignment="1" applyProtection="1">
      <alignment horizontal="center" vertical="center"/>
    </xf>
    <xf numFmtId="2" fontId="15" fillId="0" borderId="13" xfId="2" applyNumberFormat="1" applyFont="1" applyFill="1" applyBorder="1" applyAlignment="1" applyProtection="1">
      <alignment horizontal="center" vertical="center"/>
    </xf>
    <xf numFmtId="165" fontId="15" fillId="0" borderId="15" xfId="2" applyFont="1" applyFill="1" applyBorder="1" applyAlignment="1" applyProtection="1">
      <alignment horizontal="center" vertical="center"/>
    </xf>
    <xf numFmtId="165" fontId="36" fillId="0" borderId="21" xfId="2" applyFont="1" applyFill="1" applyBorder="1" applyAlignment="1">
      <alignment horizontal="right" wrapText="1"/>
    </xf>
    <xf numFmtId="2" fontId="36" fillId="0" borderId="21" xfId="2" applyNumberFormat="1" applyFont="1" applyFill="1" applyBorder="1" applyAlignment="1">
      <alignment horizontal="right" wrapText="1"/>
    </xf>
    <xf numFmtId="165" fontId="36" fillId="0" borderId="49" xfId="2" applyFont="1" applyFill="1" applyBorder="1" applyAlignment="1">
      <alignment horizontal="right" wrapText="1"/>
    </xf>
    <xf numFmtId="0" fontId="13" fillId="0" borderId="8" xfId="0" applyFont="1" applyFill="1" applyBorder="1" applyAlignment="1" applyProtection="1">
      <alignment vertical="center"/>
    </xf>
    <xf numFmtId="165" fontId="36" fillId="0" borderId="44" xfId="2" applyFont="1" applyFill="1" applyBorder="1" applyAlignment="1">
      <alignment horizontal="right" wrapText="1"/>
    </xf>
    <xf numFmtId="165" fontId="36" fillId="0" borderId="44" xfId="2" applyFont="1" applyFill="1" applyBorder="1" applyAlignment="1">
      <alignment horizontal="center" wrapText="1"/>
    </xf>
    <xf numFmtId="2" fontId="36" fillId="0" borderId="44" xfId="2" applyNumberFormat="1" applyFont="1" applyFill="1" applyBorder="1" applyAlignment="1">
      <alignment horizontal="center" wrapText="1"/>
    </xf>
    <xf numFmtId="165" fontId="36" fillId="0" borderId="52" xfId="2" applyFont="1" applyFill="1" applyBorder="1" applyAlignment="1">
      <alignment horizontal="center" wrapText="1"/>
    </xf>
    <xf numFmtId="2" fontId="15" fillId="0" borderId="39" xfId="2" applyNumberFormat="1" applyFont="1" applyFill="1" applyBorder="1" applyAlignment="1" applyProtection="1">
      <alignment horizontal="center" vertical="center"/>
    </xf>
    <xf numFmtId="2" fontId="15" fillId="0" borderId="36" xfId="2" applyNumberFormat="1" applyFont="1" applyFill="1" applyBorder="1" applyAlignment="1" applyProtection="1">
      <alignment horizontal="center" vertical="center"/>
    </xf>
    <xf numFmtId="2" fontId="15" fillId="0" borderId="47" xfId="2" applyNumberFormat="1" applyFont="1" applyFill="1" applyBorder="1" applyAlignment="1" applyProtection="1">
      <alignment horizontal="center" vertical="center"/>
    </xf>
    <xf numFmtId="2" fontId="36" fillId="0" borderId="21" xfId="2" applyNumberFormat="1" applyFont="1" applyFill="1" applyBorder="1" applyAlignment="1" applyProtection="1">
      <alignment horizontal="right" vertical="center"/>
    </xf>
    <xf numFmtId="2" fontId="36" fillId="0" borderId="49" xfId="2" applyNumberFormat="1" applyFont="1" applyFill="1" applyBorder="1" applyAlignment="1" applyProtection="1">
      <alignment horizontal="right" vertical="center"/>
    </xf>
    <xf numFmtId="1" fontId="12" fillId="0" borderId="72" xfId="2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vertical="center"/>
    </xf>
    <xf numFmtId="0" fontId="0" fillId="0" borderId="25" xfId="0" applyFill="1" applyBorder="1" applyProtection="1"/>
    <xf numFmtId="2" fontId="15" fillId="0" borderId="26" xfId="2" applyNumberFormat="1" applyFont="1" applyFill="1" applyBorder="1" applyAlignment="1" applyProtection="1">
      <alignment horizontal="center" vertical="center"/>
    </xf>
    <xf numFmtId="2" fontId="15" fillId="0" borderId="27" xfId="2" applyNumberFormat="1" applyFont="1" applyFill="1" applyBorder="1" applyAlignment="1" applyProtection="1">
      <alignment horizontal="center" vertical="center"/>
    </xf>
    <xf numFmtId="2" fontId="15" fillId="0" borderId="71" xfId="2" applyNumberFormat="1" applyFont="1" applyFill="1" applyBorder="1" applyAlignment="1" applyProtection="1">
      <alignment horizontal="center" vertical="center"/>
    </xf>
    <xf numFmtId="1" fontId="25" fillId="0" borderId="28" xfId="0" applyNumberFormat="1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vertical="center"/>
    </xf>
    <xf numFmtId="2" fontId="36" fillId="0" borderId="1" xfId="2" applyNumberFormat="1" applyFont="1" applyFill="1" applyBorder="1" applyAlignment="1" applyProtection="1">
      <alignment horizontal="right" vertical="center"/>
    </xf>
    <xf numFmtId="2" fontId="36" fillId="0" borderId="68" xfId="2" applyNumberFormat="1" applyFont="1" applyFill="1" applyBorder="1" applyAlignment="1" applyProtection="1">
      <alignment horizontal="right" vertical="center"/>
    </xf>
    <xf numFmtId="165" fontId="0" fillId="0" borderId="0" xfId="2" applyFont="1" applyFill="1" applyProtection="1"/>
    <xf numFmtId="1" fontId="25" fillId="0" borderId="73" xfId="0" applyNumberFormat="1" applyFont="1" applyFill="1" applyBorder="1" applyAlignment="1" applyProtection="1">
      <alignment horizontal="center"/>
      <protection locked="0"/>
    </xf>
    <xf numFmtId="0" fontId="13" fillId="0" borderId="74" xfId="0" applyFont="1" applyFill="1" applyBorder="1" applyAlignment="1" applyProtection="1">
      <alignment vertical="center"/>
    </xf>
    <xf numFmtId="2" fontId="36" fillId="0" borderId="23" xfId="2" applyNumberFormat="1" applyFont="1" applyFill="1" applyBorder="1" applyAlignment="1" applyProtection="1">
      <alignment horizontal="right" vertical="center"/>
    </xf>
    <xf numFmtId="2" fontId="36" fillId="0" borderId="75" xfId="2" applyNumberFormat="1" applyFont="1" applyFill="1" applyBorder="1" applyAlignment="1" applyProtection="1">
      <alignment horizontal="right" vertical="center"/>
    </xf>
    <xf numFmtId="1" fontId="2" fillId="0" borderId="58" xfId="0" applyNumberFormat="1" applyFont="1" applyFill="1" applyBorder="1" applyAlignment="1" applyProtection="1">
      <alignment horizontal="center" vertical="center"/>
    </xf>
    <xf numFmtId="1" fontId="24" fillId="0" borderId="61" xfId="0" applyNumberFormat="1" applyFont="1" applyFill="1" applyBorder="1" applyAlignment="1">
      <alignment horizontal="center" vertical="center"/>
    </xf>
    <xf numFmtId="0" fontId="23" fillId="10" borderId="63" xfId="0" applyFont="1" applyFill="1" applyBorder="1" applyAlignment="1" applyProtection="1">
      <alignment horizontal="center" vertical="center" wrapText="1"/>
    </xf>
    <xf numFmtId="0" fontId="23" fillId="10" borderId="34" xfId="0" applyFont="1" applyFill="1" applyBorder="1" applyAlignment="1" applyProtection="1">
      <alignment horizontal="center" vertical="center" wrapText="1"/>
    </xf>
    <xf numFmtId="0" fontId="23" fillId="10" borderId="67" xfId="0" applyFont="1" applyFill="1" applyBorder="1" applyAlignment="1" applyProtection="1">
      <alignment horizontal="center" vertical="center" wrapText="1"/>
    </xf>
    <xf numFmtId="0" fontId="21" fillId="0" borderId="66" xfId="0" applyFont="1" applyBorder="1" applyAlignment="1" applyProtection="1">
      <alignment horizontal="center" vertical="center"/>
    </xf>
    <xf numFmtId="0" fontId="21" fillId="0" borderId="67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0" fillId="0" borderId="34" xfId="0" applyBorder="1" applyAlignment="1">
      <alignment wrapText="1"/>
    </xf>
    <xf numFmtId="0" fontId="0" fillId="0" borderId="67" xfId="0" applyBorder="1" applyAlignment="1">
      <alignment wrapText="1"/>
    </xf>
    <xf numFmtId="0" fontId="21" fillId="0" borderId="65" xfId="0" applyFont="1" applyBorder="1" applyAlignment="1" applyProtection="1">
      <alignment horizontal="center" vertical="center"/>
    </xf>
    <xf numFmtId="2" fontId="21" fillId="0" borderId="66" xfId="0" applyNumberFormat="1" applyFont="1" applyBorder="1" applyAlignment="1" applyProtection="1">
      <alignment horizontal="center" vertical="center"/>
    </xf>
    <xf numFmtId="2" fontId="21" fillId="0" borderId="67" xfId="0" applyNumberFormat="1" applyFont="1" applyBorder="1" applyAlignment="1" applyProtection="1">
      <alignment horizontal="center" vertical="center"/>
    </xf>
    <xf numFmtId="2" fontId="21" fillId="0" borderId="34" xfId="0" applyNumberFormat="1" applyFont="1" applyBorder="1" applyAlignment="1" applyProtection="1">
      <alignment horizontal="center" vertical="center"/>
    </xf>
    <xf numFmtId="0" fontId="21" fillId="0" borderId="53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1" fillId="0" borderId="35" xfId="0" applyFont="1" applyBorder="1" applyAlignment="1" applyProtection="1">
      <alignment horizontal="center" vertical="center"/>
    </xf>
    <xf numFmtId="0" fontId="21" fillId="0" borderId="54" xfId="0" applyFont="1" applyBorder="1" applyAlignment="1" applyProtection="1">
      <alignment horizontal="center" vertical="center"/>
    </xf>
    <xf numFmtId="0" fontId="21" fillId="0" borderId="68" xfId="0" applyFont="1" applyBorder="1" applyAlignment="1" applyProtection="1">
      <alignment horizontal="center" vertical="center"/>
    </xf>
    <xf numFmtId="0" fontId="0" fillId="0" borderId="65" xfId="0" applyBorder="1" applyAlignment="1">
      <alignment horizontal="center" vertical="center" wrapText="1"/>
    </xf>
    <xf numFmtId="1" fontId="15" fillId="0" borderId="0" xfId="0" quotePrefix="1" applyNumberFormat="1" applyFont="1" applyFill="1" applyBorder="1" applyAlignment="1" applyProtection="1">
      <alignment horizontal="center"/>
    </xf>
    <xf numFmtId="1" fontId="45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1" fontId="45" fillId="0" borderId="0" xfId="0" applyNumberFormat="1" applyFont="1" applyFill="1" applyAlignment="1" applyProtection="1">
      <alignment horizontal="center"/>
    </xf>
    <xf numFmtId="1" fontId="46" fillId="0" borderId="0" xfId="2" applyNumberFormat="1" applyFont="1" applyFill="1" applyAlignment="1" applyProtection="1">
      <alignment horizontal="center"/>
    </xf>
    <xf numFmtId="1" fontId="15" fillId="0" borderId="0" xfId="0" applyNumberFormat="1" applyFont="1" applyFill="1" applyAlignment="1" applyProtection="1">
      <alignment horizontal="center"/>
    </xf>
    <xf numFmtId="2" fontId="15" fillId="4" borderId="22" xfId="2" applyNumberFormat="1" applyFont="1" applyFill="1" applyBorder="1" applyAlignment="1" applyProtection="1">
      <alignment horizontal="center" vertical="center"/>
    </xf>
    <xf numFmtId="165" fontId="10" fillId="0" borderId="8" xfId="2" applyFont="1" applyFill="1" applyBorder="1" applyAlignment="1" applyProtection="1">
      <alignment horizontal="center" vertical="center"/>
    </xf>
    <xf numFmtId="165" fontId="0" fillId="0" borderId="0" xfId="2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2" fontId="36" fillId="13" borderId="41" xfId="0" applyNumberFormat="1" applyFont="1" applyFill="1" applyBorder="1" applyAlignment="1">
      <alignment horizontal="right" wrapText="1"/>
    </xf>
    <xf numFmtId="2" fontId="36" fillId="14" borderId="14" xfId="0" applyNumberFormat="1" applyFont="1" applyFill="1" applyBorder="1" applyAlignment="1">
      <alignment horizontal="right" wrapText="1"/>
    </xf>
    <xf numFmtId="2" fontId="36" fillId="14" borderId="16" xfId="0" applyNumberFormat="1" applyFont="1" applyFill="1" applyBorder="1" applyAlignment="1">
      <alignment horizontal="right" wrapText="1"/>
    </xf>
    <xf numFmtId="2" fontId="36" fillId="14" borderId="16" xfId="2" applyNumberFormat="1" applyFont="1" applyFill="1" applyBorder="1" applyAlignment="1" applyProtection="1">
      <alignment horizontal="right" vertical="center"/>
    </xf>
    <xf numFmtId="2" fontId="36" fillId="13" borderId="14" xfId="0" applyNumberFormat="1" applyFont="1" applyFill="1" applyBorder="1" applyAlignment="1">
      <alignment horizontal="right" wrapText="1"/>
    </xf>
    <xf numFmtId="2" fontId="36" fillId="13" borderId="16" xfId="0" applyNumberFormat="1" applyFont="1" applyFill="1" applyBorder="1" applyAlignment="1">
      <alignment horizontal="right" wrapText="1"/>
    </xf>
    <xf numFmtId="2" fontId="36" fillId="13" borderId="21" xfId="0" applyNumberFormat="1" applyFont="1" applyFill="1" applyBorder="1" applyAlignment="1">
      <alignment horizontal="right" wrapText="1"/>
    </xf>
    <xf numFmtId="165" fontId="36" fillId="14" borderId="41" xfId="2" applyFont="1" applyFill="1" applyBorder="1" applyAlignment="1">
      <alignment horizontal="right" wrapText="1"/>
    </xf>
    <xf numFmtId="165" fontId="36" fillId="14" borderId="21" xfId="2" applyFont="1" applyFill="1" applyBorder="1" applyAlignment="1">
      <alignment horizontal="right" wrapText="1"/>
    </xf>
    <xf numFmtId="165" fontId="36" fillId="14" borderId="1" xfId="2" applyFont="1" applyFill="1" applyBorder="1" applyAlignment="1">
      <alignment horizontal="right" wrapText="1"/>
    </xf>
    <xf numFmtId="165" fontId="36" fillId="14" borderId="14" xfId="2" applyFont="1" applyFill="1" applyBorder="1" applyAlignment="1">
      <alignment horizontal="right" wrapText="1"/>
    </xf>
    <xf numFmtId="2" fontId="36" fillId="14" borderId="21" xfId="2" applyNumberFormat="1" applyFont="1" applyFill="1" applyBorder="1" applyAlignment="1">
      <alignment horizontal="right" wrapText="1"/>
    </xf>
    <xf numFmtId="165" fontId="36" fillId="14" borderId="1" xfId="2" applyFont="1" applyFill="1" applyBorder="1" applyAlignment="1" applyProtection="1">
      <alignment horizontal="right"/>
      <protection locked="0"/>
    </xf>
    <xf numFmtId="165" fontId="36" fillId="14" borderId="16" xfId="2" applyFont="1" applyFill="1" applyBorder="1" applyAlignment="1">
      <alignment horizontal="right" wrapText="1"/>
    </xf>
    <xf numFmtId="2" fontId="36" fillId="0" borderId="41" xfId="0" applyNumberFormat="1" applyFont="1" applyFill="1" applyBorder="1" applyAlignment="1">
      <alignment horizontal="right" wrapText="1"/>
    </xf>
    <xf numFmtId="165" fontId="36" fillId="0" borderId="41" xfId="2" applyFont="1" applyFill="1" applyBorder="1" applyAlignment="1">
      <alignment horizontal="center" wrapText="1"/>
    </xf>
    <xf numFmtId="165" fontId="36" fillId="0" borderId="48" xfId="2" applyFont="1" applyFill="1" applyBorder="1" applyAlignment="1">
      <alignment horizontal="center" wrapText="1"/>
    </xf>
    <xf numFmtId="165" fontId="36" fillId="14" borderId="44" xfId="2" applyFont="1" applyFill="1" applyBorder="1" applyAlignment="1">
      <alignment horizontal="right" wrapText="1"/>
    </xf>
    <xf numFmtId="2" fontId="15" fillId="0" borderId="42" xfId="2" applyNumberFormat="1" applyFont="1" applyFill="1" applyBorder="1" applyAlignment="1" applyProtection="1">
      <alignment horizontal="center" vertical="center"/>
    </xf>
    <xf numFmtId="2" fontId="15" fillId="0" borderId="43" xfId="2" applyNumberFormat="1" applyFont="1" applyFill="1" applyBorder="1" applyAlignment="1" applyProtection="1">
      <alignment horizontal="center" vertical="center"/>
    </xf>
    <xf numFmtId="2" fontId="15" fillId="0" borderId="50" xfId="2" applyNumberFormat="1" applyFont="1" applyFill="1" applyBorder="1" applyAlignment="1" applyProtection="1">
      <alignment horizontal="center" vertical="center"/>
    </xf>
    <xf numFmtId="1" fontId="25" fillId="0" borderId="64" xfId="0" applyNumberFormat="1" applyFont="1" applyFill="1" applyBorder="1" applyAlignment="1" applyProtection="1">
      <alignment horizontal="center"/>
      <protection locked="0"/>
    </xf>
    <xf numFmtId="2" fontId="15" fillId="4" borderId="0" xfId="2" applyNumberFormat="1" applyFont="1" applyFill="1" applyBorder="1" applyAlignment="1" applyProtection="1">
      <alignment horizontal="center" vertical="center"/>
    </xf>
    <xf numFmtId="2" fontId="15" fillId="4" borderId="12" xfId="2" applyNumberFormat="1" applyFont="1" applyFill="1" applyBorder="1" applyAlignment="1" applyProtection="1">
      <alignment horizontal="center" vertical="center"/>
    </xf>
    <xf numFmtId="2" fontId="36" fillId="0" borderId="0" xfId="0" applyNumberFormat="1" applyFont="1" applyFill="1" applyBorder="1" applyAlignment="1">
      <alignment horizontal="right" wrapText="1"/>
    </xf>
    <xf numFmtId="2" fontId="36" fillId="0" borderId="0" xfId="2" applyNumberFormat="1" applyFont="1" applyFill="1" applyBorder="1" applyAlignment="1" applyProtection="1">
      <alignment horizontal="right" vertical="center"/>
    </xf>
    <xf numFmtId="2" fontId="36" fillId="0" borderId="8" xfId="0" applyNumberFormat="1" applyFont="1" applyFill="1" applyBorder="1" applyAlignment="1">
      <alignment horizontal="right" wrapText="1"/>
    </xf>
    <xf numFmtId="2" fontId="36" fillId="0" borderId="8" xfId="2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166" fontId="7" fillId="2" borderId="0" xfId="0" applyNumberFormat="1" applyFont="1" applyFill="1" applyBorder="1" applyAlignment="1" applyProtection="1">
      <alignment horizontal="center" vertical="center"/>
    </xf>
    <xf numFmtId="165" fontId="10" fillId="2" borderId="0" xfId="2" applyFont="1" applyFill="1" applyBorder="1" applyAlignment="1" applyProtection="1">
      <alignment horizontal="center" vertical="center"/>
    </xf>
    <xf numFmtId="165" fontId="10" fillId="0" borderId="0" xfId="2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66" fontId="9" fillId="2" borderId="0" xfId="0" applyNumberFormat="1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vertical="center"/>
    </xf>
    <xf numFmtId="0" fontId="31" fillId="6" borderId="0" xfId="0" applyFont="1" applyFill="1" applyBorder="1" applyAlignment="1" applyProtection="1">
      <alignment vertical="center"/>
    </xf>
    <xf numFmtId="2" fontId="36" fillId="0" borderId="0" xfId="0" applyNumberFormat="1" applyFont="1" applyBorder="1" applyAlignment="1">
      <alignment horizontal="right" wrapText="1"/>
    </xf>
    <xf numFmtId="166" fontId="1" fillId="9" borderId="0" xfId="0" applyNumberFormat="1" applyFont="1" applyFill="1" applyBorder="1" applyAlignment="1" applyProtection="1">
      <alignment horizontal="center"/>
    </xf>
    <xf numFmtId="2" fontId="17" fillId="9" borderId="0" xfId="2" applyNumberFormat="1" applyFont="1" applyFill="1" applyBorder="1" applyAlignment="1" applyProtection="1">
      <alignment horizontal="center"/>
    </xf>
    <xf numFmtId="2" fontId="17" fillId="9" borderId="0" xfId="0" applyNumberFormat="1" applyFont="1" applyFill="1" applyBorder="1" applyProtection="1"/>
    <xf numFmtId="2" fontId="17" fillId="9" borderId="0" xfId="2" applyNumberFormat="1" applyFont="1" applyFill="1" applyBorder="1" applyProtection="1"/>
    <xf numFmtId="0" fontId="11" fillId="4" borderId="0" xfId="0" applyFont="1" applyFill="1" applyBorder="1" applyAlignment="1" applyProtection="1">
      <alignment vertic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2" fontId="36" fillId="0" borderId="0" xfId="0" applyNumberFormat="1" applyFont="1" applyFill="1" applyBorder="1" applyAlignment="1" applyProtection="1">
      <alignment horizontal="center"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5" fontId="15" fillId="4" borderId="0" xfId="2" applyFont="1" applyFill="1" applyBorder="1" applyAlignment="1" applyProtection="1">
      <alignment horizontal="center" vertical="center"/>
    </xf>
    <xf numFmtId="165" fontId="36" fillId="0" borderId="0" xfId="2" applyFont="1" applyBorder="1" applyAlignment="1">
      <alignment horizontal="right" wrapText="1"/>
    </xf>
    <xf numFmtId="165" fontId="36" fillId="0" borderId="0" xfId="2" applyFont="1" applyFill="1" applyBorder="1" applyAlignment="1">
      <alignment horizontal="right" wrapText="1"/>
    </xf>
    <xf numFmtId="166" fontId="13" fillId="12" borderId="0" xfId="0" applyNumberFormat="1" applyFont="1" applyFill="1" applyBorder="1" applyAlignment="1" applyProtection="1">
      <alignment horizontal="center" vertical="center"/>
    </xf>
    <xf numFmtId="165" fontId="36" fillId="0" borderId="0" xfId="2" applyFont="1" applyFill="1" applyBorder="1" applyAlignment="1">
      <alignment horizontal="center" wrapText="1"/>
    </xf>
    <xf numFmtId="2" fontId="29" fillId="2" borderId="0" xfId="2" applyNumberFormat="1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left" vertical="center"/>
    </xf>
    <xf numFmtId="165" fontId="15" fillId="6" borderId="0" xfId="2" applyFont="1" applyFill="1" applyBorder="1" applyAlignment="1" applyProtection="1">
      <alignment horizontal="right" vertical="center"/>
    </xf>
    <xf numFmtId="165" fontId="15" fillId="6" borderId="0" xfId="2" applyFont="1" applyFill="1" applyBorder="1" applyAlignment="1" applyProtection="1">
      <alignment horizontal="left" vertical="center"/>
    </xf>
    <xf numFmtId="165" fontId="36" fillId="0" borderId="0" xfId="2" applyFont="1" applyFill="1" applyBorder="1" applyAlignment="1" applyProtection="1">
      <alignment horizontal="right" vertical="center"/>
    </xf>
    <xf numFmtId="2" fontId="14" fillId="9" borderId="0" xfId="0" applyNumberFormat="1" applyFont="1" applyFill="1" applyBorder="1" applyAlignment="1" applyProtection="1">
      <alignment horizontal="right"/>
      <protection locked="0"/>
    </xf>
    <xf numFmtId="165" fontId="26" fillId="6" borderId="0" xfId="2" applyFont="1" applyFill="1" applyBorder="1" applyAlignment="1" applyProtection="1">
      <alignment horizontal="right" vertical="center"/>
    </xf>
    <xf numFmtId="165" fontId="26" fillId="6" borderId="0" xfId="2" applyFont="1" applyFill="1" applyBorder="1" applyAlignment="1" applyProtection="1">
      <alignment horizontal="left" vertical="center"/>
    </xf>
    <xf numFmtId="2" fontId="28" fillId="2" borderId="0" xfId="2" applyNumberFormat="1" applyFont="1" applyFill="1" applyBorder="1" applyAlignment="1" applyProtection="1">
      <alignment horizontal="center" vertical="center"/>
    </xf>
    <xf numFmtId="2" fontId="12" fillId="4" borderId="0" xfId="2" applyNumberFormat="1" applyFont="1" applyFill="1" applyBorder="1" applyAlignment="1" applyProtection="1">
      <alignment horizontal="center" vertical="center"/>
    </xf>
    <xf numFmtId="2" fontId="36" fillId="0" borderId="0" xfId="2" applyNumberFormat="1" applyFont="1" applyBorder="1" applyAlignment="1" applyProtection="1">
      <alignment horizontal="right" vertical="center"/>
    </xf>
    <xf numFmtId="165" fontId="0" fillId="0" borderId="0" xfId="2" applyFont="1" applyFill="1" applyBorder="1" applyProtection="1"/>
    <xf numFmtId="165" fontId="0" fillId="0" borderId="0" xfId="2" applyFont="1" applyFill="1" applyBorder="1" applyAlignment="1" applyProtection="1">
      <alignment horizontal="center" vertical="center"/>
    </xf>
    <xf numFmtId="165" fontId="0" fillId="0" borderId="0" xfId="2" applyFont="1" applyFill="1" applyBorder="1" applyAlignment="1" applyProtection="1">
      <alignment vertical="center"/>
    </xf>
    <xf numFmtId="166" fontId="14" fillId="0" borderId="0" xfId="0" applyNumberFormat="1" applyFont="1" applyFill="1" applyBorder="1" applyAlignment="1" applyProtection="1">
      <alignment horizontal="center" vertical="center"/>
    </xf>
    <xf numFmtId="165" fontId="12" fillId="0" borderId="0" xfId="2" applyFont="1" applyFill="1" applyBorder="1" applyAlignment="1" applyProtection="1">
      <alignment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4" fillId="0" borderId="57" xfId="0" applyFont="1" applyBorder="1" applyAlignment="1">
      <alignment horizontal="center" vertical="center"/>
    </xf>
    <xf numFmtId="1" fontId="12" fillId="4" borderId="57" xfId="2" applyNumberFormat="1" applyFont="1" applyFill="1" applyBorder="1" applyAlignment="1" applyProtection="1">
      <alignment horizontal="center" vertical="center"/>
    </xf>
    <xf numFmtId="1" fontId="12" fillId="0" borderId="57" xfId="0" applyNumberFormat="1" applyFont="1" applyBorder="1" applyAlignment="1" applyProtection="1">
      <alignment horizontal="center"/>
      <protection locked="0"/>
    </xf>
    <xf numFmtId="2" fontId="36" fillId="0" borderId="12" xfId="0" applyNumberFormat="1" applyFont="1" applyBorder="1" applyAlignment="1">
      <alignment horizontal="right" wrapText="1"/>
    </xf>
    <xf numFmtId="1" fontId="0" fillId="9" borderId="57" xfId="0" applyNumberFormat="1" applyFill="1" applyBorder="1" applyAlignment="1" applyProtection="1">
      <alignment horizontal="center"/>
    </xf>
    <xf numFmtId="2" fontId="17" fillId="9" borderId="12" xfId="0" applyNumberFormat="1" applyFont="1" applyFill="1" applyBorder="1" applyProtection="1"/>
    <xf numFmtId="1" fontId="2" fillId="0" borderId="57" xfId="0" applyNumberFormat="1" applyFont="1" applyBorder="1" applyAlignment="1" applyProtection="1">
      <alignment horizontal="center" vertical="center"/>
    </xf>
    <xf numFmtId="1" fontId="24" fillId="0" borderId="57" xfId="0" applyNumberFormat="1" applyFont="1" applyBorder="1" applyAlignment="1">
      <alignment horizontal="center" vertical="center"/>
    </xf>
    <xf numFmtId="2" fontId="36" fillId="0" borderId="12" xfId="2" applyNumberFormat="1" applyFont="1" applyFill="1" applyBorder="1" applyAlignment="1" applyProtection="1">
      <alignment horizontal="right" vertical="center"/>
    </xf>
    <xf numFmtId="1" fontId="25" fillId="0" borderId="57" xfId="0" applyNumberFormat="1" applyFont="1" applyFill="1" applyBorder="1" applyAlignment="1" applyProtection="1">
      <alignment horizontal="center"/>
      <protection locked="0"/>
    </xf>
    <xf numFmtId="2" fontId="36" fillId="0" borderId="12" xfId="0" applyNumberFormat="1" applyFont="1" applyFill="1" applyBorder="1" applyAlignment="1">
      <alignment horizontal="right" wrapText="1"/>
    </xf>
    <xf numFmtId="1" fontId="2" fillId="0" borderId="57" xfId="0" applyNumberFormat="1" applyFont="1" applyFill="1" applyBorder="1" applyAlignment="1" applyProtection="1">
      <alignment horizontal="center" vertical="center"/>
    </xf>
    <xf numFmtId="1" fontId="24" fillId="0" borderId="57" xfId="0" applyNumberFormat="1" applyFont="1" applyFill="1" applyBorder="1" applyAlignment="1">
      <alignment horizontal="center" vertical="center"/>
    </xf>
    <xf numFmtId="1" fontId="12" fillId="0" borderId="57" xfId="0" applyNumberFormat="1" applyFont="1" applyFill="1" applyBorder="1" applyAlignment="1" applyProtection="1">
      <alignment horizontal="center"/>
      <protection locked="0"/>
    </xf>
    <xf numFmtId="1" fontId="25" fillId="0" borderId="79" xfId="0" applyNumberFormat="1" applyFont="1" applyFill="1" applyBorder="1" applyAlignment="1" applyProtection="1">
      <alignment horizontal="center"/>
      <protection locked="0"/>
    </xf>
    <xf numFmtId="2" fontId="36" fillId="0" borderId="32" xfId="0" applyNumberFormat="1" applyFont="1" applyFill="1" applyBorder="1" applyAlignment="1">
      <alignment horizontal="right" wrapText="1"/>
    </xf>
    <xf numFmtId="165" fontId="10" fillId="2" borderId="57" xfId="2" applyFont="1" applyFill="1" applyBorder="1" applyAlignment="1" applyProtection="1">
      <alignment horizontal="center" vertical="center"/>
    </xf>
    <xf numFmtId="2" fontId="15" fillId="4" borderId="57" xfId="2" applyNumberFormat="1" applyFont="1" applyFill="1" applyBorder="1" applyAlignment="1" applyProtection="1">
      <alignment horizontal="center" vertical="center"/>
    </xf>
    <xf numFmtId="2" fontId="36" fillId="0" borderId="57" xfId="0" applyNumberFormat="1" applyFont="1" applyBorder="1" applyAlignment="1">
      <alignment horizontal="right" wrapText="1"/>
    </xf>
    <xf numFmtId="2" fontId="17" fillId="9" borderId="57" xfId="0" applyNumberFormat="1" applyFont="1" applyFill="1" applyBorder="1" applyAlignment="1" applyProtection="1">
      <alignment horizontal="center"/>
    </xf>
    <xf numFmtId="2" fontId="9" fillId="2" borderId="57" xfId="2" applyNumberFormat="1" applyFont="1" applyFill="1" applyBorder="1" applyAlignment="1" applyProtection="1">
      <alignment horizontal="center" vertical="center"/>
    </xf>
    <xf numFmtId="2" fontId="36" fillId="0" borderId="57" xfId="2" applyNumberFormat="1" applyFont="1" applyFill="1" applyBorder="1" applyAlignment="1" applyProtection="1">
      <alignment horizontal="right" vertical="center"/>
    </xf>
    <xf numFmtId="2" fontId="9" fillId="0" borderId="57" xfId="2" applyNumberFormat="1" applyFont="1" applyFill="1" applyBorder="1" applyAlignment="1" applyProtection="1">
      <alignment horizontal="center" vertical="center"/>
    </xf>
    <xf numFmtId="2" fontId="36" fillId="0" borderId="79" xfId="2" applyNumberFormat="1" applyFont="1" applyFill="1" applyBorder="1" applyAlignment="1" applyProtection="1">
      <alignment horizontal="right" vertical="center"/>
    </xf>
    <xf numFmtId="2" fontId="17" fillId="9" borderId="57" xfId="2" applyNumberFormat="1" applyFont="1" applyFill="1" applyBorder="1" applyProtection="1"/>
    <xf numFmtId="2" fontId="36" fillId="0" borderId="57" xfId="0" applyNumberFormat="1" applyFont="1" applyFill="1" applyBorder="1" applyAlignment="1" applyProtection="1">
      <alignment horizontal="center" vertical="center"/>
    </xf>
    <xf numFmtId="2" fontId="36" fillId="0" borderId="57" xfId="0" applyNumberFormat="1" applyFont="1" applyFill="1" applyBorder="1" applyAlignment="1">
      <alignment horizontal="right" wrapText="1"/>
    </xf>
    <xf numFmtId="2" fontId="36" fillId="0" borderId="79" xfId="0" applyNumberFormat="1" applyFont="1" applyFill="1" applyBorder="1" applyAlignment="1">
      <alignment horizontal="right" wrapText="1"/>
    </xf>
    <xf numFmtId="166" fontId="7" fillId="2" borderId="58" xfId="0" applyNumberFormat="1" applyFont="1" applyFill="1" applyBorder="1" applyAlignment="1" applyProtection="1">
      <alignment horizontal="center" vertical="center"/>
    </xf>
    <xf numFmtId="166" fontId="9" fillId="2" borderId="58" xfId="0" applyNumberFormat="1" applyFont="1" applyFill="1" applyBorder="1" applyAlignment="1" applyProtection="1">
      <alignment horizontal="center" vertical="center"/>
    </xf>
    <xf numFmtId="0" fontId="11" fillId="6" borderId="58" xfId="0" applyFont="1" applyFill="1" applyBorder="1" applyAlignment="1" applyProtection="1">
      <alignment vertical="center"/>
    </xf>
    <xf numFmtId="166" fontId="13" fillId="0" borderId="58" xfId="0" applyNumberFormat="1" applyFont="1" applyFill="1" applyBorder="1" applyAlignment="1" applyProtection="1">
      <alignment horizontal="center" vertical="center"/>
    </xf>
    <xf numFmtId="166" fontId="1" fillId="9" borderId="58" xfId="0" applyNumberFormat="1" applyFont="1" applyFill="1" applyBorder="1" applyAlignment="1" applyProtection="1">
      <alignment horizontal="center"/>
    </xf>
    <xf numFmtId="0" fontId="11" fillId="4" borderId="58" xfId="0" applyFont="1" applyFill="1" applyBorder="1" applyAlignment="1" applyProtection="1">
      <alignment vertical="center"/>
    </xf>
    <xf numFmtId="0" fontId="0" fillId="0" borderId="58" xfId="0" applyBorder="1" applyProtection="1"/>
    <xf numFmtId="166" fontId="13" fillId="0" borderId="61" xfId="0" applyNumberFormat="1" applyFont="1" applyFill="1" applyBorder="1" applyAlignment="1" applyProtection="1">
      <alignment horizontal="center" vertical="center"/>
    </xf>
    <xf numFmtId="0" fontId="9" fillId="2" borderId="58" xfId="0" applyFont="1" applyFill="1" applyBorder="1" applyAlignment="1" applyProtection="1">
      <alignment horizontal="center" vertical="center"/>
    </xf>
    <xf numFmtId="0" fontId="32" fillId="6" borderId="58" xfId="0" applyFont="1" applyFill="1" applyBorder="1" applyProtection="1"/>
    <xf numFmtId="0" fontId="13" fillId="0" borderId="58" xfId="0" applyFont="1" applyBorder="1" applyAlignment="1" applyProtection="1">
      <alignment vertical="center"/>
    </xf>
    <xf numFmtId="0" fontId="14" fillId="0" borderId="58" xfId="0" applyFont="1" applyBorder="1" applyAlignment="1" applyProtection="1">
      <alignment vertical="center"/>
    </xf>
    <xf numFmtId="165" fontId="1" fillId="9" borderId="58" xfId="2" applyFill="1" applyBorder="1" applyAlignment="1" applyProtection="1">
      <alignment horizontal="center"/>
    </xf>
    <xf numFmtId="0" fontId="0" fillId="4" borderId="58" xfId="0" applyFill="1" applyBorder="1" applyProtection="1"/>
    <xf numFmtId="0" fontId="14" fillId="0" borderId="58" xfId="0" applyFont="1" applyFill="1" applyBorder="1" applyAlignment="1" applyProtection="1">
      <alignment vertical="center"/>
    </xf>
    <xf numFmtId="0" fontId="14" fillId="0" borderId="58" xfId="0" applyFont="1" applyFill="1" applyBorder="1" applyAlignment="1" applyProtection="1">
      <alignment horizontal="center" vertical="center"/>
    </xf>
    <xf numFmtId="2" fontId="13" fillId="0" borderId="58" xfId="0" applyNumberFormat="1" applyFont="1" applyFill="1" applyBorder="1" applyAlignment="1">
      <alignment horizontal="left" wrapText="1"/>
    </xf>
    <xf numFmtId="0" fontId="9" fillId="0" borderId="58" xfId="0" applyFont="1" applyFill="1" applyBorder="1" applyAlignment="1" applyProtection="1">
      <alignment horizontal="center" vertical="center"/>
    </xf>
    <xf numFmtId="2" fontId="13" fillId="0" borderId="61" xfId="0" applyNumberFormat="1" applyFont="1" applyFill="1" applyBorder="1" applyAlignment="1">
      <alignment horizontal="left" wrapText="1"/>
    </xf>
    <xf numFmtId="0" fontId="11" fillId="6" borderId="57" xfId="0" applyFont="1" applyFill="1" applyBorder="1" applyAlignment="1" applyProtection="1">
      <alignment vertical="center"/>
    </xf>
    <xf numFmtId="0" fontId="11" fillId="6" borderId="12" xfId="0" applyFont="1" applyFill="1" applyBorder="1" applyAlignment="1" applyProtection="1">
      <alignment vertical="center"/>
    </xf>
    <xf numFmtId="0" fontId="13" fillId="0" borderId="58" xfId="0" applyFont="1" applyFill="1" applyBorder="1" applyAlignment="1" applyProtection="1">
      <alignment vertical="center"/>
    </xf>
    <xf numFmtId="1" fontId="2" fillId="0" borderId="78" xfId="0" applyNumberFormat="1" applyFont="1" applyBorder="1" applyAlignment="1" applyProtection="1">
      <alignment horizontal="center" vertical="center"/>
    </xf>
    <xf numFmtId="165" fontId="15" fillId="4" borderId="12" xfId="2" applyFont="1" applyFill="1" applyBorder="1" applyAlignment="1" applyProtection="1">
      <alignment horizontal="center" vertical="center"/>
    </xf>
    <xf numFmtId="165" fontId="36" fillId="0" borderId="12" xfId="2" applyFont="1" applyBorder="1" applyAlignment="1">
      <alignment horizontal="right" wrapText="1"/>
    </xf>
    <xf numFmtId="165" fontId="36" fillId="0" borderId="12" xfId="2" applyFont="1" applyFill="1" applyBorder="1" applyAlignment="1">
      <alignment horizontal="right" wrapText="1"/>
    </xf>
    <xf numFmtId="165" fontId="36" fillId="0" borderId="12" xfId="2" applyFont="1" applyFill="1" applyBorder="1" applyAlignment="1">
      <alignment horizontal="center" wrapText="1"/>
    </xf>
    <xf numFmtId="166" fontId="13" fillId="12" borderId="58" xfId="0" applyNumberFormat="1" applyFont="1" applyFill="1" applyBorder="1" applyAlignment="1" applyProtection="1">
      <alignment horizontal="center" vertical="center"/>
    </xf>
    <xf numFmtId="2" fontId="10" fillId="2" borderId="57" xfId="2" applyNumberFormat="1" applyFont="1" applyFill="1" applyBorder="1" applyAlignment="1" applyProtection="1">
      <alignment horizontal="center" vertical="center"/>
    </xf>
    <xf numFmtId="2" fontId="10" fillId="2" borderId="12" xfId="2" applyNumberFormat="1" applyFont="1" applyFill="1" applyBorder="1" applyAlignment="1" applyProtection="1">
      <alignment horizontal="center" vertical="center"/>
    </xf>
    <xf numFmtId="2" fontId="36" fillId="0" borderId="57" xfId="2" applyNumberFormat="1" applyFont="1" applyFill="1" applyBorder="1" applyAlignment="1">
      <alignment horizontal="right" wrapText="1"/>
    </xf>
    <xf numFmtId="2" fontId="36" fillId="0" borderId="12" xfId="2" applyNumberFormat="1" applyFont="1" applyFill="1" applyBorder="1" applyAlignment="1">
      <alignment horizontal="right" wrapText="1"/>
    </xf>
    <xf numFmtId="2" fontId="36" fillId="0" borderId="12" xfId="2" applyNumberFormat="1" applyFont="1" applyFill="1" applyBorder="1" applyAlignment="1">
      <alignment horizontal="center" wrapText="1"/>
    </xf>
    <xf numFmtId="2" fontId="29" fillId="2" borderId="57" xfId="2" applyNumberFormat="1" applyFont="1" applyFill="1" applyBorder="1" applyAlignment="1" applyProtection="1">
      <alignment horizontal="center" vertical="center"/>
    </xf>
    <xf numFmtId="165" fontId="15" fillId="4" borderId="57" xfId="2" applyFont="1" applyFill="1" applyBorder="1" applyAlignment="1" applyProtection="1">
      <alignment horizontal="center" vertical="center"/>
    </xf>
    <xf numFmtId="165" fontId="36" fillId="0" borderId="57" xfId="2" applyFont="1" applyBorder="1" applyAlignment="1">
      <alignment horizontal="right" wrapText="1"/>
    </xf>
    <xf numFmtId="165" fontId="36" fillId="0" borderId="57" xfId="2" applyFont="1" applyFill="1" applyBorder="1" applyAlignment="1">
      <alignment horizontal="right" wrapText="1"/>
    </xf>
    <xf numFmtId="0" fontId="14" fillId="0" borderId="61" xfId="0" applyFont="1" applyFill="1" applyBorder="1" applyAlignment="1" applyProtection="1">
      <alignment vertical="center"/>
    </xf>
    <xf numFmtId="165" fontId="36" fillId="0" borderId="8" xfId="2" applyFont="1" applyFill="1" applyBorder="1" applyAlignment="1">
      <alignment horizontal="right" wrapText="1"/>
    </xf>
    <xf numFmtId="2" fontId="36" fillId="0" borderId="79" xfId="2" applyNumberFormat="1" applyFont="1" applyFill="1" applyBorder="1" applyAlignment="1">
      <alignment horizontal="right" wrapText="1"/>
    </xf>
    <xf numFmtId="2" fontId="36" fillId="0" borderId="32" xfId="2" applyNumberFormat="1" applyFont="1" applyFill="1" applyBorder="1" applyAlignment="1">
      <alignment horizontal="right" wrapText="1"/>
    </xf>
    <xf numFmtId="165" fontId="36" fillId="0" borderId="79" xfId="2" applyFont="1" applyFill="1" applyBorder="1" applyAlignment="1">
      <alignment horizontal="right" wrapText="1"/>
    </xf>
    <xf numFmtId="165" fontId="36" fillId="0" borderId="32" xfId="2" applyFont="1" applyFill="1" applyBorder="1" applyAlignment="1">
      <alignment horizontal="right" wrapText="1"/>
    </xf>
    <xf numFmtId="1" fontId="12" fillId="15" borderId="57" xfId="0" applyNumberFormat="1" applyFont="1" applyFill="1" applyBorder="1" applyAlignment="1" applyProtection="1">
      <alignment horizontal="center"/>
      <protection locked="0"/>
    </xf>
    <xf numFmtId="166" fontId="13" fillId="15" borderId="57" xfId="0" applyNumberFormat="1" applyFont="1" applyFill="1" applyBorder="1" applyAlignment="1" applyProtection="1">
      <alignment horizontal="center" vertical="center"/>
    </xf>
    <xf numFmtId="166" fontId="13" fillId="15" borderId="0" xfId="0" applyNumberFormat="1" applyFont="1" applyFill="1" applyBorder="1" applyAlignment="1" applyProtection="1">
      <alignment horizontal="center" vertical="center"/>
    </xf>
    <xf numFmtId="0" fontId="13" fillId="15" borderId="12" xfId="0" applyFont="1" applyFill="1" applyBorder="1" applyAlignment="1" applyProtection="1">
      <alignment vertical="center"/>
    </xf>
    <xf numFmtId="165" fontId="36" fillId="15" borderId="0" xfId="2" applyFont="1" applyFill="1" applyBorder="1" applyAlignment="1">
      <alignment horizontal="right" wrapText="1"/>
    </xf>
    <xf numFmtId="165" fontId="36" fillId="15" borderId="0" xfId="2" applyFont="1" applyFill="1" applyBorder="1" applyAlignment="1">
      <alignment horizontal="center" wrapText="1"/>
    </xf>
    <xf numFmtId="2" fontId="36" fillId="15" borderId="57" xfId="2" applyNumberFormat="1" applyFont="1" applyFill="1" applyBorder="1" applyAlignment="1">
      <alignment horizontal="right" wrapText="1"/>
    </xf>
    <xf numFmtId="2" fontId="36" fillId="15" borderId="12" xfId="2" applyNumberFormat="1" applyFont="1" applyFill="1" applyBorder="1" applyAlignment="1">
      <alignment horizontal="center" wrapText="1"/>
    </xf>
    <xf numFmtId="165" fontId="36" fillId="15" borderId="57" xfId="2" applyFont="1" applyFill="1" applyBorder="1" applyAlignment="1">
      <alignment horizontal="right" wrapText="1"/>
    </xf>
    <xf numFmtId="165" fontId="36" fillId="15" borderId="12" xfId="2" applyFont="1" applyFill="1" applyBorder="1" applyAlignment="1">
      <alignment horizontal="center" wrapText="1"/>
    </xf>
    <xf numFmtId="1" fontId="25" fillId="9" borderId="57" xfId="0" applyNumberFormat="1" applyFont="1" applyFill="1" applyBorder="1" applyAlignment="1" applyProtection="1">
      <alignment horizontal="center"/>
      <protection locked="0"/>
    </xf>
    <xf numFmtId="1" fontId="25" fillId="0" borderId="57" xfId="0" quotePrefix="1" applyNumberFormat="1" applyFont="1" applyFill="1" applyBorder="1" applyAlignment="1" applyProtection="1">
      <alignment horizontal="center"/>
      <protection locked="0"/>
    </xf>
    <xf numFmtId="1" fontId="12" fillId="12" borderId="57" xfId="0" applyNumberFormat="1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left" vertical="center"/>
    </xf>
    <xf numFmtId="166" fontId="13" fillId="9" borderId="58" xfId="0" applyNumberFormat="1" applyFont="1" applyFill="1" applyBorder="1" applyAlignment="1" applyProtection="1">
      <alignment horizontal="center" vertical="center"/>
    </xf>
    <xf numFmtId="0" fontId="1" fillId="6" borderId="58" xfId="0" applyFont="1" applyFill="1" applyBorder="1" applyAlignment="1" applyProtection="1">
      <alignment horizontal="left" vertical="center"/>
    </xf>
    <xf numFmtId="0" fontId="13" fillId="0" borderId="58" xfId="0" applyFont="1" applyFill="1" applyBorder="1" applyProtection="1"/>
    <xf numFmtId="0" fontId="13" fillId="0" borderId="58" xfId="0" applyFont="1" applyBorder="1" applyProtection="1"/>
    <xf numFmtId="0" fontId="14" fillId="0" borderId="58" xfId="0" applyFont="1" applyBorder="1" applyProtection="1"/>
    <xf numFmtId="0" fontId="14" fillId="9" borderId="58" xfId="0" applyFont="1" applyFill="1" applyBorder="1" applyProtection="1"/>
    <xf numFmtId="0" fontId="13" fillId="12" borderId="58" xfId="0" applyFont="1" applyFill="1" applyBorder="1" applyProtection="1"/>
    <xf numFmtId="0" fontId="14" fillId="0" borderId="58" xfId="0" applyFont="1" applyFill="1" applyBorder="1" applyProtection="1"/>
    <xf numFmtId="165" fontId="15" fillId="6" borderId="57" xfId="2" applyFont="1" applyFill="1" applyBorder="1" applyAlignment="1" applyProtection="1">
      <alignment horizontal="right" vertical="center"/>
    </xf>
    <xf numFmtId="2" fontId="14" fillId="9" borderId="57" xfId="0" applyNumberFormat="1" applyFont="1" applyFill="1" applyBorder="1" applyAlignment="1" applyProtection="1">
      <alignment horizontal="right"/>
      <protection locked="0"/>
    </xf>
    <xf numFmtId="165" fontId="26" fillId="6" borderId="57" xfId="2" applyFont="1" applyFill="1" applyBorder="1" applyAlignment="1" applyProtection="1">
      <alignment horizontal="right" vertical="center"/>
    </xf>
    <xf numFmtId="2" fontId="28" fillId="2" borderId="57" xfId="2" applyNumberFormat="1" applyFont="1" applyFill="1" applyBorder="1" applyAlignment="1" applyProtection="1">
      <alignment horizontal="center" vertical="center"/>
    </xf>
    <xf numFmtId="165" fontId="36" fillId="0" borderId="0" xfId="2" applyFont="1" applyFill="1" applyBorder="1" applyAlignment="1" applyProtection="1">
      <alignment horizontal="right"/>
      <protection locked="0"/>
    </xf>
    <xf numFmtId="165" fontId="36" fillId="0" borderId="57" xfId="2" applyFont="1" applyFill="1" applyBorder="1" applyAlignment="1" applyProtection="1">
      <alignment horizontal="right"/>
      <protection locked="0"/>
    </xf>
    <xf numFmtId="165" fontId="36" fillId="0" borderId="12" xfId="2" applyFont="1" applyFill="1" applyBorder="1" applyAlignment="1" applyProtection="1">
      <alignment horizontal="right"/>
      <protection locked="0"/>
    </xf>
    <xf numFmtId="165" fontId="36" fillId="0" borderId="12" xfId="2" applyFont="1" applyFill="1" applyBorder="1" applyAlignment="1" applyProtection="1">
      <alignment horizontal="right" vertical="center"/>
    </xf>
    <xf numFmtId="1" fontId="12" fillId="0" borderId="79" xfId="0" applyNumberFormat="1" applyFont="1" applyFill="1" applyBorder="1" applyAlignment="1" applyProtection="1">
      <alignment horizontal="center"/>
      <protection locked="0"/>
    </xf>
    <xf numFmtId="0" fontId="13" fillId="0" borderId="61" xfId="0" applyFont="1" applyFill="1" applyBorder="1" applyProtection="1"/>
    <xf numFmtId="2" fontId="12" fillId="4" borderId="12" xfId="2" applyNumberFormat="1" applyFont="1" applyFill="1" applyBorder="1" applyAlignment="1" applyProtection="1">
      <alignment horizontal="center" vertical="center"/>
    </xf>
    <xf numFmtId="2" fontId="12" fillId="4" borderId="57" xfId="2" applyNumberFormat="1" applyFont="1" applyFill="1" applyBorder="1" applyAlignment="1" applyProtection="1">
      <alignment horizontal="center" vertical="center"/>
    </xf>
    <xf numFmtId="0" fontId="13" fillId="0" borderId="61" xfId="0" applyFont="1" applyFill="1" applyBorder="1" applyAlignment="1" applyProtection="1">
      <alignment vertical="center"/>
    </xf>
    <xf numFmtId="2" fontId="36" fillId="0" borderId="32" xfId="2" applyNumberFormat="1" applyFont="1" applyFill="1" applyBorder="1" applyAlignment="1" applyProtection="1">
      <alignment horizontal="right" vertical="center"/>
    </xf>
    <xf numFmtId="2" fontId="36" fillId="0" borderId="12" xfId="2" applyNumberFormat="1" applyFont="1" applyBorder="1" applyAlignment="1" applyProtection="1">
      <alignment horizontal="right" vertical="center"/>
    </xf>
    <xf numFmtId="1" fontId="12" fillId="2" borderId="57" xfId="0" applyNumberFormat="1" applyFont="1" applyFill="1" applyBorder="1" applyAlignment="1" applyProtection="1">
      <alignment horizontal="center"/>
      <protection locked="0"/>
    </xf>
    <xf numFmtId="0" fontId="0" fillId="0" borderId="57" xfId="0" applyBorder="1"/>
    <xf numFmtId="166" fontId="14" fillId="0" borderId="58" xfId="0" applyNumberFormat="1" applyFont="1" applyFill="1" applyBorder="1" applyAlignment="1" applyProtection="1">
      <alignment horizontal="center" vertical="center"/>
    </xf>
    <xf numFmtId="2" fontId="36" fillId="0" borderId="57" xfId="2" applyNumberFormat="1" applyFont="1" applyBorder="1" applyAlignment="1" applyProtection="1">
      <alignment horizontal="right" vertical="center"/>
    </xf>
    <xf numFmtId="1" fontId="12" fillId="0" borderId="57" xfId="0" quotePrefix="1" applyNumberFormat="1" applyFont="1" applyFill="1" applyBorder="1" applyAlignment="1" applyProtection="1">
      <alignment horizontal="center"/>
      <protection locked="0"/>
    </xf>
    <xf numFmtId="166" fontId="13" fillId="16" borderId="0" xfId="0" applyNumberFormat="1" applyFont="1" applyFill="1" applyBorder="1" applyAlignment="1" applyProtection="1">
      <alignment horizontal="center" vertical="center"/>
    </xf>
    <xf numFmtId="166" fontId="14" fillId="16" borderId="0" xfId="0" applyNumberFormat="1" applyFont="1" applyFill="1" applyBorder="1" applyAlignment="1" applyProtection="1">
      <alignment horizontal="center" vertical="center"/>
    </xf>
    <xf numFmtId="1" fontId="25" fillId="16" borderId="57" xfId="0" applyNumberFormat="1" applyFont="1" applyFill="1" applyBorder="1" applyAlignment="1" applyProtection="1">
      <alignment horizontal="center"/>
      <protection locked="0"/>
    </xf>
    <xf numFmtId="166" fontId="13" fillId="16" borderId="58" xfId="0" applyNumberFormat="1" applyFont="1" applyFill="1" applyBorder="1" applyAlignment="1" applyProtection="1">
      <alignment horizontal="center" vertical="center"/>
    </xf>
    <xf numFmtId="0" fontId="14" fillId="16" borderId="58" xfId="0" applyFont="1" applyFill="1" applyBorder="1" applyAlignment="1" applyProtection="1">
      <alignment vertical="center"/>
    </xf>
    <xf numFmtId="2" fontId="36" fillId="16" borderId="0" xfId="0" applyNumberFormat="1" applyFont="1" applyFill="1" applyBorder="1" applyAlignment="1">
      <alignment horizontal="right" wrapText="1"/>
    </xf>
    <xf numFmtId="2" fontId="36" fillId="16" borderId="57" xfId="0" applyNumberFormat="1" applyFont="1" applyFill="1" applyBorder="1" applyAlignment="1">
      <alignment horizontal="right" wrapText="1"/>
    </xf>
    <xf numFmtId="2" fontId="36" fillId="16" borderId="12" xfId="0" applyNumberFormat="1" applyFont="1" applyFill="1" applyBorder="1" applyAlignment="1">
      <alignment horizontal="right" wrapText="1"/>
    </xf>
    <xf numFmtId="0" fontId="0" fillId="16" borderId="0" xfId="0" applyFill="1" applyBorder="1" applyAlignment="1" applyProtection="1">
      <alignment vertical="center"/>
    </xf>
    <xf numFmtId="2" fontId="36" fillId="16" borderId="57" xfId="2" applyNumberFormat="1" applyFont="1" applyFill="1" applyBorder="1" applyAlignment="1" applyProtection="1">
      <alignment horizontal="right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1" fontId="12" fillId="0" borderId="56" xfId="0" quotePrefix="1" applyNumberFormat="1" applyFont="1" applyFill="1" applyBorder="1" applyAlignment="1" applyProtection="1">
      <alignment horizontal="center"/>
      <protection locked="0"/>
    </xf>
    <xf numFmtId="1" fontId="0" fillId="0" borderId="63" xfId="0" applyNumberFormat="1" applyFill="1" applyBorder="1" applyAlignment="1" applyProtection="1">
      <alignment horizontal="center"/>
    </xf>
    <xf numFmtId="1" fontId="2" fillId="0" borderId="20" xfId="0" applyNumberFormat="1" applyFont="1" applyFill="1" applyBorder="1" applyAlignment="1" applyProtection="1">
      <alignment horizontal="center" vertical="center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1" fontId="25" fillId="0" borderId="29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1" fontId="12" fillId="0" borderId="37" xfId="2" applyNumberFormat="1" applyFont="1" applyFill="1" applyBorder="1" applyAlignment="1" applyProtection="1">
      <alignment horizontal="center" vertical="center"/>
    </xf>
    <xf numFmtId="1" fontId="12" fillId="0" borderId="58" xfId="0" applyNumberFormat="1" applyFont="1" applyFill="1" applyBorder="1" applyAlignment="1" applyProtection="1">
      <alignment horizontal="center"/>
      <protection locked="0"/>
    </xf>
    <xf numFmtId="1" fontId="25" fillId="0" borderId="37" xfId="0" applyNumberFormat="1" applyFont="1" applyFill="1" applyBorder="1" applyAlignment="1" applyProtection="1">
      <alignment horizontal="center"/>
      <protection locked="0"/>
    </xf>
    <xf numFmtId="1" fontId="12" fillId="0" borderId="60" xfId="2" applyNumberFormat="1" applyFont="1" applyFill="1" applyBorder="1" applyAlignment="1" applyProtection="1">
      <alignment horizontal="center" vertical="center"/>
    </xf>
    <xf numFmtId="1" fontId="12" fillId="0" borderId="60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" fontId="25" fillId="0" borderId="59" xfId="0" applyNumberFormat="1" applyFont="1" applyFill="1" applyBorder="1" applyAlignment="1" applyProtection="1">
      <alignment horizontal="center"/>
      <protection locked="0"/>
    </xf>
    <xf numFmtId="1" fontId="1" fillId="0" borderId="38" xfId="2" applyNumberFormat="1" applyFont="1" applyFill="1" applyBorder="1" applyAlignment="1" applyProtection="1">
      <alignment horizontal="center" vertical="center"/>
    </xf>
    <xf numFmtId="1" fontId="12" fillId="0" borderId="59" xfId="0" applyNumberFormat="1" applyFont="1" applyFill="1" applyBorder="1" applyAlignment="1" applyProtection="1">
      <alignment horizontal="center"/>
      <protection locked="0"/>
    </xf>
    <xf numFmtId="1" fontId="24" fillId="0" borderId="58" xfId="0" applyNumberFormat="1" applyFont="1" applyFill="1" applyBorder="1" applyAlignment="1">
      <alignment horizontal="center" vertical="center"/>
    </xf>
    <xf numFmtId="1" fontId="12" fillId="0" borderId="61" xfId="0" applyNumberFormat="1" applyFont="1" applyFill="1" applyBorder="1" applyAlignment="1" applyProtection="1">
      <alignment horizontal="center"/>
      <protection locked="0"/>
    </xf>
    <xf numFmtId="1" fontId="2" fillId="0" borderId="61" xfId="0" applyNumberFormat="1" applyFont="1" applyFill="1" applyBorder="1" applyAlignment="1" applyProtection="1">
      <alignment horizontal="center" vertical="center"/>
    </xf>
    <xf numFmtId="1" fontId="25" fillId="0" borderId="6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1" fillId="0" borderId="66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67" xfId="0" applyFont="1" applyBorder="1" applyAlignment="1" applyProtection="1">
      <alignment horizontal="center" vertical="center"/>
    </xf>
    <xf numFmtId="0" fontId="21" fillId="0" borderId="57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11" fillId="4" borderId="57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vertical="center"/>
    </xf>
    <xf numFmtId="0" fontId="23" fillId="10" borderId="57" xfId="0" applyFont="1" applyFill="1" applyBorder="1" applyAlignment="1" applyProtection="1">
      <alignment horizontal="center" vertical="center" wrapText="1"/>
    </xf>
    <xf numFmtId="0" fontId="23" fillId="10" borderId="0" xfId="0" applyFont="1" applyFill="1" applyBorder="1" applyAlignment="1" applyProtection="1">
      <alignment horizontal="center" vertical="center" wrapText="1"/>
    </xf>
    <xf numFmtId="0" fontId="23" fillId="10" borderId="12" xfId="0" applyFont="1" applyFill="1" applyBorder="1" applyAlignment="1" applyProtection="1">
      <alignment horizontal="center" vertical="center" wrapText="1"/>
    </xf>
    <xf numFmtId="0" fontId="21" fillId="0" borderId="78" xfId="0" applyFont="1" applyBorder="1" applyAlignment="1" applyProtection="1">
      <alignment horizontal="center" vertical="center"/>
    </xf>
    <xf numFmtId="0" fontId="21" fillId="0" borderId="54" xfId="0" applyFont="1" applyBorder="1" applyAlignment="1" applyProtection="1">
      <alignment horizontal="center" vertical="center"/>
    </xf>
    <xf numFmtId="0" fontId="23" fillId="10" borderId="78" xfId="0" applyFont="1" applyFill="1" applyBorder="1" applyAlignment="1" applyProtection="1">
      <alignment horizontal="center" vertical="center" wrapText="1"/>
    </xf>
    <xf numFmtId="0" fontId="23" fillId="10" borderId="18" xfId="0" applyFont="1" applyFill="1" applyBorder="1" applyAlignment="1" applyProtection="1">
      <alignment horizontal="center" vertical="center" wrapText="1"/>
    </xf>
    <xf numFmtId="0" fontId="23" fillId="10" borderId="54" xfId="0" applyFont="1" applyFill="1" applyBorder="1" applyAlignment="1" applyProtection="1">
      <alignment horizontal="center" vertical="center" wrapText="1"/>
    </xf>
    <xf numFmtId="0" fontId="11" fillId="6" borderId="57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12" xfId="0" applyFont="1" applyFill="1" applyBorder="1" applyAlignment="1" applyProtection="1">
      <alignment horizontal="left" vertical="center"/>
    </xf>
    <xf numFmtId="166" fontId="37" fillId="0" borderId="0" xfId="0" applyNumberFormat="1" applyFont="1" applyBorder="1" applyAlignment="1" applyProtection="1">
      <alignment horizontal="left" wrapText="1"/>
    </xf>
    <xf numFmtId="2" fontId="21" fillId="0" borderId="78" xfId="0" applyNumberFormat="1" applyFont="1" applyBorder="1" applyAlignment="1" applyProtection="1">
      <alignment horizontal="center" vertical="center"/>
    </xf>
    <xf numFmtId="2" fontId="21" fillId="0" borderId="54" xfId="0" applyNumberFormat="1" applyFont="1" applyBorder="1" applyAlignment="1" applyProtection="1">
      <alignment horizontal="center" vertical="center"/>
    </xf>
    <xf numFmtId="0" fontId="11" fillId="11" borderId="57" xfId="0" applyFont="1" applyFill="1" applyBorder="1" applyAlignment="1" applyProtection="1">
      <alignment vertical="center"/>
    </xf>
    <xf numFmtId="0" fontId="11" fillId="11" borderId="0" xfId="0" applyFont="1" applyFill="1" applyBorder="1" applyAlignment="1" applyProtection="1">
      <alignment vertical="center"/>
    </xf>
    <xf numFmtId="0" fontId="11" fillId="11" borderId="12" xfId="0" applyFont="1" applyFill="1" applyBorder="1" applyAlignment="1" applyProtection="1">
      <alignment vertical="center"/>
    </xf>
    <xf numFmtId="2" fontId="21" fillId="0" borderId="57" xfId="0" applyNumberFormat="1" applyFont="1" applyBorder="1" applyAlignment="1" applyProtection="1">
      <alignment horizontal="center" vertical="center"/>
    </xf>
    <xf numFmtId="2" fontId="21" fillId="0" borderId="12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1" fontId="12" fillId="16" borderId="57" xfId="0" applyNumberFormat="1" applyFont="1" applyFill="1" applyBorder="1" applyAlignment="1" applyProtection="1">
      <alignment horizontal="center"/>
      <protection locked="0"/>
    </xf>
    <xf numFmtId="0" fontId="13" fillId="16" borderId="58" xfId="0" applyFont="1" applyFill="1" applyBorder="1" applyProtection="1"/>
    <xf numFmtId="2" fontId="36" fillId="16" borderId="0" xfId="2" applyNumberFormat="1" applyFont="1" applyFill="1" applyBorder="1" applyAlignment="1" applyProtection="1">
      <alignment horizontal="right" vertical="center"/>
    </xf>
    <xf numFmtId="2" fontId="36" fillId="16" borderId="12" xfId="2" applyNumberFormat="1" applyFont="1" applyFill="1" applyBorder="1" applyAlignment="1" applyProtection="1">
      <alignment horizontal="right" vertical="center"/>
    </xf>
    <xf numFmtId="165" fontId="0" fillId="16" borderId="0" xfId="2" applyFont="1" applyFill="1" applyBorder="1" applyAlignment="1" applyProtection="1">
      <alignment vertical="center"/>
    </xf>
  </cellXfs>
  <cellStyles count="6">
    <cellStyle name="Normal" xfId="0" builtinId="0"/>
    <cellStyle name="Normal 2" xfId="4"/>
    <cellStyle name="Porcentagem" xfId="1" builtinId="5"/>
    <cellStyle name="Separador de milhares [0]" xfId="3" builtinId="6"/>
    <cellStyle name="Vírgula" xfId="2" builtinId="3"/>
    <cellStyle name="Vírgula 2" xfId="5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328</xdr:row>
      <xdr:rowOff>0</xdr:rowOff>
    </xdr:from>
    <xdr:to>
      <xdr:col>31</xdr:col>
      <xdr:colOff>0</xdr:colOff>
      <xdr:row>328</xdr:row>
      <xdr:rowOff>0</xdr:rowOff>
    </xdr:to>
    <xdr:sp macro="" textlink="">
      <xdr:nvSpPr>
        <xdr:cNvPr id="3" name="Texto 3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3296900" y="7743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328</xdr:row>
      <xdr:rowOff>0</xdr:rowOff>
    </xdr:from>
    <xdr:to>
      <xdr:col>31</xdr:col>
      <xdr:colOff>0</xdr:colOff>
      <xdr:row>328</xdr:row>
      <xdr:rowOff>0</xdr:rowOff>
    </xdr:to>
    <xdr:sp macro="" textlink="">
      <xdr:nvSpPr>
        <xdr:cNvPr id="4" name="Texto 1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3296900" y="7743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0</xdr:row>
      <xdr:rowOff>152400</xdr:rowOff>
    </xdr:from>
    <xdr:to>
      <xdr:col>13</xdr:col>
      <xdr:colOff>461645</xdr:colOff>
      <xdr:row>2</xdr:row>
      <xdr:rowOff>120650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152400"/>
          <a:ext cx="1804670" cy="29210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514350</xdr:colOff>
      <xdr:row>1</xdr:row>
      <xdr:rowOff>180975</xdr:rowOff>
    </xdr:from>
    <xdr:to>
      <xdr:col>13</xdr:col>
      <xdr:colOff>490220</xdr:colOff>
      <xdr:row>1</xdr:row>
      <xdr:rowOff>473075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342900"/>
          <a:ext cx="1804670" cy="29210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180975</xdr:rowOff>
    </xdr:from>
    <xdr:to>
      <xdr:col>13</xdr:col>
      <xdr:colOff>423545</xdr:colOff>
      <xdr:row>1</xdr:row>
      <xdr:rowOff>473075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5" y="342900"/>
          <a:ext cx="1804670" cy="29210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1</xdr:row>
      <xdr:rowOff>247650</xdr:rowOff>
    </xdr:from>
    <xdr:to>
      <xdr:col>13</xdr:col>
      <xdr:colOff>566420</xdr:colOff>
      <xdr:row>1</xdr:row>
      <xdr:rowOff>539750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409575"/>
          <a:ext cx="1804670" cy="29210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2" name="Texto 3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3420725" y="576072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3" name="Texto 1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3420725" y="5760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485775</xdr:colOff>
      <xdr:row>1</xdr:row>
      <xdr:rowOff>171450</xdr:rowOff>
    </xdr:from>
    <xdr:to>
      <xdr:col>13</xdr:col>
      <xdr:colOff>461645</xdr:colOff>
      <xdr:row>1</xdr:row>
      <xdr:rowOff>463550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0" y="333375"/>
          <a:ext cx="1804670" cy="29210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49" name="Retângulo 2">
          <a:extLst>
            <a:ext uri="{FF2B5EF4-FFF2-40B4-BE49-F238E27FC236}">
              <a16:creationId xmlns:a16="http://schemas.microsoft.com/office/drawing/2014/main" xmlns="" id="{00000000-0008-0000-0600-000001080000}"/>
            </a:ext>
          </a:extLst>
        </xdr:cNvPr>
        <xdr:cNvSpPr>
          <a:spLocks noChangeArrowheads="1"/>
        </xdr:cNvSpPr>
      </xdr:nvSpPr>
      <xdr:spPr bwMode="auto">
        <a:xfrm>
          <a:off x="4772025" y="0"/>
          <a:ext cx="436245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0" name="Retângulo 3">
          <a:extLst>
            <a:ext uri="{FF2B5EF4-FFF2-40B4-BE49-F238E27FC236}">
              <a16:creationId xmlns:a16="http://schemas.microsoft.com/office/drawing/2014/main" xmlns="" id="{00000000-0008-0000-06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00575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1" name="Retângulo 4">
          <a:extLst>
            <a:ext uri="{FF2B5EF4-FFF2-40B4-BE49-F238E27FC236}">
              <a16:creationId xmlns:a16="http://schemas.microsoft.com/office/drawing/2014/main" xmlns="" id="{00000000-0008-0000-0600-000003080000}"/>
            </a:ext>
          </a:extLst>
        </xdr:cNvPr>
        <xdr:cNvSpPr>
          <a:spLocks noChangeArrowheads="1"/>
        </xdr:cNvSpPr>
      </xdr:nvSpPr>
      <xdr:spPr bwMode="auto">
        <a:xfrm>
          <a:off x="4772025" y="0"/>
          <a:ext cx="436245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2" name="Retângulo 5">
          <a:extLst>
            <a:ext uri="{FF2B5EF4-FFF2-40B4-BE49-F238E27FC236}">
              <a16:creationId xmlns:a16="http://schemas.microsoft.com/office/drawing/2014/main" xmlns="" id="{00000000-0008-0000-0600-000004080000}"/>
            </a:ext>
          </a:extLst>
        </xdr:cNvPr>
        <xdr:cNvSpPr>
          <a:spLocks noChangeArrowheads="1"/>
        </xdr:cNvSpPr>
      </xdr:nvSpPr>
      <xdr:spPr bwMode="auto">
        <a:xfrm>
          <a:off x="4772025" y="0"/>
          <a:ext cx="436245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3" name="Retângulo 6">
          <a:extLst>
            <a:ext uri="{FF2B5EF4-FFF2-40B4-BE49-F238E27FC236}">
              <a16:creationId xmlns:a16="http://schemas.microsoft.com/office/drawing/2014/main" xmlns="" id="{00000000-0008-0000-0600-00000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00575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4" name="Retângulo 7">
          <a:extLst>
            <a:ext uri="{FF2B5EF4-FFF2-40B4-BE49-F238E27FC236}">
              <a16:creationId xmlns:a16="http://schemas.microsoft.com/office/drawing/2014/main" xmlns="" id="{00000000-0008-0000-0600-000006080000}"/>
            </a:ext>
          </a:extLst>
        </xdr:cNvPr>
        <xdr:cNvSpPr>
          <a:spLocks noChangeArrowheads="1"/>
        </xdr:cNvSpPr>
      </xdr:nvSpPr>
      <xdr:spPr bwMode="auto">
        <a:xfrm>
          <a:off x="4772025" y="0"/>
          <a:ext cx="436245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18</xdr:col>
      <xdr:colOff>76200</xdr:colOff>
      <xdr:row>117</xdr:row>
      <xdr:rowOff>0</xdr:rowOff>
    </xdr:from>
    <xdr:to>
      <xdr:col>24</xdr:col>
      <xdr:colOff>333375</xdr:colOff>
      <xdr:row>119</xdr:row>
      <xdr:rowOff>0</xdr:rowOff>
    </xdr:to>
    <xdr:sp macro="" textlink="">
      <xdr:nvSpPr>
        <xdr:cNvPr id="30172" name="Texto 31">
          <a:extLst>
            <a:ext uri="{FF2B5EF4-FFF2-40B4-BE49-F238E27FC236}">
              <a16:creationId xmlns:a16="http://schemas.microsoft.com/office/drawing/2014/main" xmlns="" id="{00000000-0008-0000-0600-0000DC750000}"/>
            </a:ext>
          </a:extLst>
        </xdr:cNvPr>
        <xdr:cNvSpPr txBox="1">
          <a:spLocks noChangeArrowheads="1"/>
        </xdr:cNvSpPr>
      </xdr:nvSpPr>
      <xdr:spPr bwMode="auto">
        <a:xfrm>
          <a:off x="16068675" y="19935825"/>
          <a:ext cx="4829175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80</xdr:row>
      <xdr:rowOff>0</xdr:rowOff>
    </xdr:from>
    <xdr:to>
      <xdr:col>9</xdr:col>
      <xdr:colOff>0</xdr:colOff>
      <xdr:row>81</xdr:row>
      <xdr:rowOff>0</xdr:rowOff>
    </xdr:to>
    <xdr:sp macro="" textlink="">
      <xdr:nvSpPr>
        <xdr:cNvPr id="2057" name="Rectangle 9">
          <a:extLst>
            <a:ext uri="{FF2B5EF4-FFF2-40B4-BE49-F238E27FC236}">
              <a16:creationId xmlns:a16="http://schemas.microsoft.com/office/drawing/2014/main" xmlns="" id="{00000000-0008-0000-0600-000009080000}"/>
            </a:ext>
          </a:extLst>
        </xdr:cNvPr>
        <xdr:cNvSpPr>
          <a:spLocks noChangeArrowheads="1"/>
        </xdr:cNvSpPr>
      </xdr:nvSpPr>
      <xdr:spPr bwMode="auto">
        <a:xfrm>
          <a:off x="4772025" y="13944600"/>
          <a:ext cx="43624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9</xdr:col>
      <xdr:colOff>0</xdr:colOff>
      <xdr:row>96</xdr:row>
      <xdr:rowOff>0</xdr:rowOff>
    </xdr:to>
    <xdr:sp macro="" textlink="">
      <xdr:nvSpPr>
        <xdr:cNvPr id="2058" name="Rectangle 10">
          <a:extLst>
            <a:ext uri="{FF2B5EF4-FFF2-40B4-BE49-F238E27FC236}">
              <a16:creationId xmlns:a16="http://schemas.microsoft.com/office/drawing/2014/main" xmlns="" id="{00000000-0008-0000-0600-00000A080000}"/>
            </a:ext>
          </a:extLst>
        </xdr:cNvPr>
        <xdr:cNvSpPr>
          <a:spLocks noChangeArrowheads="1"/>
        </xdr:cNvSpPr>
      </xdr:nvSpPr>
      <xdr:spPr bwMode="auto">
        <a:xfrm>
          <a:off x="4772025" y="14106525"/>
          <a:ext cx="4362450" cy="2428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9</xdr:col>
      <xdr:colOff>0</xdr:colOff>
      <xdr:row>99</xdr:row>
      <xdr:rowOff>0</xdr:rowOff>
    </xdr:to>
    <xdr:sp macro="" textlink="">
      <xdr:nvSpPr>
        <xdr:cNvPr id="2059" name="Rectangle 11">
          <a:extLst>
            <a:ext uri="{FF2B5EF4-FFF2-40B4-BE49-F238E27FC236}">
              <a16:creationId xmlns:a16="http://schemas.microsoft.com/office/drawing/2014/main" xmlns="" id="{00000000-0008-0000-0600-00000B080000}"/>
            </a:ext>
          </a:extLst>
        </xdr:cNvPr>
        <xdr:cNvSpPr>
          <a:spLocks noChangeArrowheads="1"/>
        </xdr:cNvSpPr>
      </xdr:nvSpPr>
      <xdr:spPr bwMode="auto">
        <a:xfrm>
          <a:off x="4772025" y="16859250"/>
          <a:ext cx="43624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9</xdr:col>
      <xdr:colOff>0</xdr:colOff>
      <xdr:row>109</xdr:row>
      <xdr:rowOff>0</xdr:rowOff>
    </xdr:to>
    <xdr:sp macro="" textlink="">
      <xdr:nvSpPr>
        <xdr:cNvPr id="2060" name="Rectangle 12">
          <a:extLst>
            <a:ext uri="{FF2B5EF4-FFF2-40B4-BE49-F238E27FC236}">
              <a16:creationId xmlns:a16="http://schemas.microsoft.com/office/drawing/2014/main" xmlns="" id="{00000000-0008-0000-0600-00000C080000}"/>
            </a:ext>
          </a:extLst>
        </xdr:cNvPr>
        <xdr:cNvSpPr>
          <a:spLocks noChangeArrowheads="1"/>
        </xdr:cNvSpPr>
      </xdr:nvSpPr>
      <xdr:spPr bwMode="auto">
        <a:xfrm>
          <a:off x="4772025" y="16859250"/>
          <a:ext cx="4362450" cy="1781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2061" name="Rectangle 13">
          <a:extLst>
            <a:ext uri="{FF2B5EF4-FFF2-40B4-BE49-F238E27FC236}">
              <a16:creationId xmlns:a16="http://schemas.microsoft.com/office/drawing/2014/main" xmlns="" id="{00000000-0008-0000-0600-00000D080000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4600575" cy="12144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2062" name="Rectangle 14">
          <a:extLst>
            <a:ext uri="{FF2B5EF4-FFF2-40B4-BE49-F238E27FC236}">
              <a16:creationId xmlns:a16="http://schemas.microsoft.com/office/drawing/2014/main" xmlns="" id="{00000000-0008-0000-0600-00000E080000}"/>
            </a:ext>
          </a:extLst>
        </xdr:cNvPr>
        <xdr:cNvSpPr>
          <a:spLocks noChangeArrowheads="1"/>
        </xdr:cNvSpPr>
      </xdr:nvSpPr>
      <xdr:spPr bwMode="auto">
        <a:xfrm>
          <a:off x="0" y="18154650"/>
          <a:ext cx="460057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4</xdr:col>
      <xdr:colOff>0</xdr:colOff>
      <xdr:row>117</xdr:row>
      <xdr:rowOff>0</xdr:rowOff>
    </xdr:to>
    <xdr:sp macro="" textlink="">
      <xdr:nvSpPr>
        <xdr:cNvPr id="2063" name="Rectangle 15">
          <a:extLst>
            <a:ext uri="{FF2B5EF4-FFF2-40B4-BE49-F238E27FC236}">
              <a16:creationId xmlns:a16="http://schemas.microsoft.com/office/drawing/2014/main" xmlns="" id="{00000000-0008-0000-0600-00000F080000}"/>
            </a:ext>
          </a:extLst>
        </xdr:cNvPr>
        <xdr:cNvSpPr>
          <a:spLocks noChangeArrowheads="1"/>
        </xdr:cNvSpPr>
      </xdr:nvSpPr>
      <xdr:spPr bwMode="auto">
        <a:xfrm>
          <a:off x="0" y="19773900"/>
          <a:ext cx="460057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xmlns="" id="{00000000-0008-0000-0600-000010080000}"/>
            </a:ext>
          </a:extLst>
        </xdr:cNvPr>
        <xdr:cNvSpPr>
          <a:spLocks noChangeArrowheads="1"/>
        </xdr:cNvSpPr>
      </xdr:nvSpPr>
      <xdr:spPr bwMode="auto">
        <a:xfrm>
          <a:off x="0" y="19773900"/>
          <a:ext cx="4600575" cy="1000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4</xdr:col>
      <xdr:colOff>0</xdr:colOff>
      <xdr:row>115</xdr:row>
      <xdr:rowOff>0</xdr:rowOff>
    </xdr:to>
    <xdr:sp macro="" textlink="">
      <xdr:nvSpPr>
        <xdr:cNvPr id="2065" name="Rectangle 17">
          <a:extLst>
            <a:ext uri="{FF2B5EF4-FFF2-40B4-BE49-F238E27FC236}">
              <a16:creationId xmlns:a16="http://schemas.microsoft.com/office/drawing/2014/main" xmlns="" id="{00000000-0008-0000-0600-000011080000}"/>
            </a:ext>
          </a:extLst>
        </xdr:cNvPr>
        <xdr:cNvSpPr>
          <a:spLocks noChangeArrowheads="1"/>
        </xdr:cNvSpPr>
      </xdr:nvSpPr>
      <xdr:spPr bwMode="auto">
        <a:xfrm>
          <a:off x="0" y="18154650"/>
          <a:ext cx="4600575" cy="1457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9</xdr:col>
      <xdr:colOff>0</xdr:colOff>
      <xdr:row>112</xdr:row>
      <xdr:rowOff>0</xdr:rowOff>
    </xdr:to>
    <xdr:sp macro="" textlink="">
      <xdr:nvSpPr>
        <xdr:cNvPr id="2066" name="Rectangle 18">
          <a:extLst>
            <a:ext uri="{FF2B5EF4-FFF2-40B4-BE49-F238E27FC236}">
              <a16:creationId xmlns:a16="http://schemas.microsoft.com/office/drawing/2014/main" xmlns="" id="{00000000-0008-0000-0600-000012080000}"/>
            </a:ext>
          </a:extLst>
        </xdr:cNvPr>
        <xdr:cNvSpPr>
          <a:spLocks noChangeArrowheads="1"/>
        </xdr:cNvSpPr>
      </xdr:nvSpPr>
      <xdr:spPr bwMode="auto">
        <a:xfrm>
          <a:off x="4772025" y="18964275"/>
          <a:ext cx="43624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9</xdr:col>
      <xdr:colOff>0</xdr:colOff>
      <xdr:row>119</xdr:row>
      <xdr:rowOff>0</xdr:rowOff>
    </xdr:to>
    <xdr:sp macro="" textlink="">
      <xdr:nvSpPr>
        <xdr:cNvPr id="2067" name="Rectangle 19">
          <a:extLst>
            <a:ext uri="{FF2B5EF4-FFF2-40B4-BE49-F238E27FC236}">
              <a16:creationId xmlns:a16="http://schemas.microsoft.com/office/drawing/2014/main" xmlns="" id="{00000000-0008-0000-0600-000013080000}"/>
            </a:ext>
          </a:extLst>
        </xdr:cNvPr>
        <xdr:cNvSpPr>
          <a:spLocks noChangeArrowheads="1"/>
        </xdr:cNvSpPr>
      </xdr:nvSpPr>
      <xdr:spPr bwMode="auto">
        <a:xfrm>
          <a:off x="4772025" y="18964275"/>
          <a:ext cx="4362450" cy="1295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2068" name="Rectangle 20">
          <a:extLst>
            <a:ext uri="{FF2B5EF4-FFF2-40B4-BE49-F238E27FC236}">
              <a16:creationId xmlns:a16="http://schemas.microsoft.com/office/drawing/2014/main" xmlns="" id="{00000000-0008-0000-0600-000014080000}"/>
            </a:ext>
          </a:extLst>
        </xdr:cNvPr>
        <xdr:cNvSpPr>
          <a:spLocks noChangeArrowheads="1"/>
        </xdr:cNvSpPr>
      </xdr:nvSpPr>
      <xdr:spPr bwMode="auto">
        <a:xfrm>
          <a:off x="4772025" y="609600"/>
          <a:ext cx="4362450" cy="12144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2069" name="Rectangle 21">
          <a:extLst>
            <a:ext uri="{FF2B5EF4-FFF2-40B4-BE49-F238E27FC236}">
              <a16:creationId xmlns:a16="http://schemas.microsoft.com/office/drawing/2014/main" xmlns="" id="{00000000-0008-0000-0600-000015080000}"/>
            </a:ext>
          </a:extLst>
        </xdr:cNvPr>
        <xdr:cNvSpPr>
          <a:spLocks noChangeArrowheads="1"/>
        </xdr:cNvSpPr>
      </xdr:nvSpPr>
      <xdr:spPr bwMode="auto">
        <a:xfrm>
          <a:off x="0" y="13944600"/>
          <a:ext cx="4600575" cy="388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28575</xdr:colOff>
          <xdr:row>0</xdr:row>
          <xdr:rowOff>28575</xdr:rowOff>
        </xdr:from>
        <xdr:ext cx="666750" cy="209550"/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6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22860" rIns="18288" bIns="22860" anchor="ctr" upright="1">
              <a:spAutoFit/>
            </a:bodyPr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OPÇÕES</a:t>
              </a:r>
            </a:p>
          </xdr:txBody>
        </xdr:sp>
        <xdr:clientData fPrintsWithSheet="0"/>
      </xdr:one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073" name="Retângulo 2">
          <a:extLst>
            <a:ext uri="{FF2B5EF4-FFF2-40B4-BE49-F238E27FC236}">
              <a16:creationId xmlns:a16="http://schemas.microsoft.com/office/drawing/2014/main" xmlns="" id="{00000000-0008-0000-0700-0000010C0000}"/>
            </a:ext>
          </a:extLst>
        </xdr:cNvPr>
        <xdr:cNvSpPr>
          <a:spLocks noChangeArrowheads="1"/>
        </xdr:cNvSpPr>
      </xdr:nvSpPr>
      <xdr:spPr bwMode="auto">
        <a:xfrm>
          <a:off x="4772025" y="0"/>
          <a:ext cx="436245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74" name="Retângulo 3">
          <a:extLst>
            <a:ext uri="{FF2B5EF4-FFF2-40B4-BE49-F238E27FC236}">
              <a16:creationId xmlns:a16="http://schemas.microsoft.com/office/drawing/2014/main" xmlns="" id="{00000000-0008-0000-0700-00000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00575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075" name="Retângulo 4">
          <a:extLst>
            <a:ext uri="{FF2B5EF4-FFF2-40B4-BE49-F238E27FC236}">
              <a16:creationId xmlns:a16="http://schemas.microsoft.com/office/drawing/2014/main" xmlns="" id="{00000000-0008-0000-0700-0000030C0000}"/>
            </a:ext>
          </a:extLst>
        </xdr:cNvPr>
        <xdr:cNvSpPr>
          <a:spLocks noChangeArrowheads="1"/>
        </xdr:cNvSpPr>
      </xdr:nvSpPr>
      <xdr:spPr bwMode="auto">
        <a:xfrm>
          <a:off x="4772025" y="0"/>
          <a:ext cx="436245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076" name="Retângulo 5">
          <a:extLst>
            <a:ext uri="{FF2B5EF4-FFF2-40B4-BE49-F238E27FC236}">
              <a16:creationId xmlns:a16="http://schemas.microsoft.com/office/drawing/2014/main" xmlns="" id="{00000000-0008-0000-0700-0000040C0000}"/>
            </a:ext>
          </a:extLst>
        </xdr:cNvPr>
        <xdr:cNvSpPr>
          <a:spLocks noChangeArrowheads="1"/>
        </xdr:cNvSpPr>
      </xdr:nvSpPr>
      <xdr:spPr bwMode="auto">
        <a:xfrm>
          <a:off x="4772025" y="0"/>
          <a:ext cx="436245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77" name="Retângulo 6">
          <a:extLst>
            <a:ext uri="{FF2B5EF4-FFF2-40B4-BE49-F238E27FC236}">
              <a16:creationId xmlns:a16="http://schemas.microsoft.com/office/drawing/2014/main" xmlns="" id="{00000000-0008-0000-0700-00000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00575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078" name="Retângulo 7">
          <a:extLst>
            <a:ext uri="{FF2B5EF4-FFF2-40B4-BE49-F238E27FC236}">
              <a16:creationId xmlns:a16="http://schemas.microsoft.com/office/drawing/2014/main" xmlns="" id="{00000000-0008-0000-0700-0000060C0000}"/>
            </a:ext>
          </a:extLst>
        </xdr:cNvPr>
        <xdr:cNvSpPr>
          <a:spLocks noChangeArrowheads="1"/>
        </xdr:cNvSpPr>
      </xdr:nvSpPr>
      <xdr:spPr bwMode="auto">
        <a:xfrm>
          <a:off x="4772025" y="0"/>
          <a:ext cx="436245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18</xdr:col>
      <xdr:colOff>76200</xdr:colOff>
      <xdr:row>120</xdr:row>
      <xdr:rowOff>0</xdr:rowOff>
    </xdr:from>
    <xdr:to>
      <xdr:col>24</xdr:col>
      <xdr:colOff>333375</xdr:colOff>
      <xdr:row>122</xdr:row>
      <xdr:rowOff>0</xdr:rowOff>
    </xdr:to>
    <xdr:sp macro="" textlink="">
      <xdr:nvSpPr>
        <xdr:cNvPr id="29325" name="Texto 31">
          <a:extLst>
            <a:ext uri="{FF2B5EF4-FFF2-40B4-BE49-F238E27FC236}">
              <a16:creationId xmlns:a16="http://schemas.microsoft.com/office/drawing/2014/main" xmlns="" id="{00000000-0008-0000-0700-00008D720000}"/>
            </a:ext>
          </a:extLst>
        </xdr:cNvPr>
        <xdr:cNvSpPr txBox="1">
          <a:spLocks noChangeArrowheads="1"/>
        </xdr:cNvSpPr>
      </xdr:nvSpPr>
      <xdr:spPr bwMode="auto">
        <a:xfrm>
          <a:off x="16068675" y="20421600"/>
          <a:ext cx="4829175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581025</xdr:colOff>
      <xdr:row>124</xdr:row>
      <xdr:rowOff>0</xdr:rowOff>
    </xdr:from>
    <xdr:to>
      <xdr:col>16</xdr:col>
      <xdr:colOff>438150</xdr:colOff>
      <xdr:row>134</xdr:row>
      <xdr:rowOff>38100</xdr:rowOff>
    </xdr:to>
    <xdr:sp macro="" textlink="">
      <xdr:nvSpPr>
        <xdr:cNvPr id="29326" name="Texto 15">
          <a:extLst>
            <a:ext uri="{FF2B5EF4-FFF2-40B4-BE49-F238E27FC236}">
              <a16:creationId xmlns:a16="http://schemas.microsoft.com/office/drawing/2014/main" xmlns="" id="{00000000-0008-0000-0700-00008E720000}"/>
            </a:ext>
          </a:extLst>
        </xdr:cNvPr>
        <xdr:cNvSpPr txBox="1">
          <a:spLocks noChangeArrowheads="1"/>
        </xdr:cNvSpPr>
      </xdr:nvSpPr>
      <xdr:spPr bwMode="auto">
        <a:xfrm>
          <a:off x="10477500" y="21126450"/>
          <a:ext cx="4429125" cy="1666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81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3082" name="Rectangle 10">
          <a:extLst>
            <a:ext uri="{FF2B5EF4-FFF2-40B4-BE49-F238E27FC236}">
              <a16:creationId xmlns:a16="http://schemas.microsoft.com/office/drawing/2014/main" xmlns="" id="{00000000-0008-0000-0700-00000A0C0000}"/>
            </a:ext>
          </a:extLst>
        </xdr:cNvPr>
        <xdr:cNvSpPr>
          <a:spLocks noChangeArrowheads="1"/>
        </xdr:cNvSpPr>
      </xdr:nvSpPr>
      <xdr:spPr bwMode="auto">
        <a:xfrm>
          <a:off x="4772025" y="14106525"/>
          <a:ext cx="43624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9</xdr:col>
      <xdr:colOff>0</xdr:colOff>
      <xdr:row>97</xdr:row>
      <xdr:rowOff>0</xdr:rowOff>
    </xdr:to>
    <xdr:sp macro="" textlink="">
      <xdr:nvSpPr>
        <xdr:cNvPr id="3083" name="Rectangle 11">
          <a:extLst>
            <a:ext uri="{FF2B5EF4-FFF2-40B4-BE49-F238E27FC236}">
              <a16:creationId xmlns:a16="http://schemas.microsoft.com/office/drawing/2014/main" xmlns="" id="{00000000-0008-0000-0700-00000B0C0000}"/>
            </a:ext>
          </a:extLst>
        </xdr:cNvPr>
        <xdr:cNvSpPr>
          <a:spLocks noChangeArrowheads="1"/>
        </xdr:cNvSpPr>
      </xdr:nvSpPr>
      <xdr:spPr bwMode="auto">
        <a:xfrm>
          <a:off x="4772025" y="14268450"/>
          <a:ext cx="4362450" cy="2428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9</xdr:col>
      <xdr:colOff>0</xdr:colOff>
      <xdr:row>101</xdr:row>
      <xdr:rowOff>0</xdr:rowOff>
    </xdr:to>
    <xdr:sp macro="" textlink="">
      <xdr:nvSpPr>
        <xdr:cNvPr id="3084" name="Rectangle 12">
          <a:extLst>
            <a:ext uri="{FF2B5EF4-FFF2-40B4-BE49-F238E27FC236}">
              <a16:creationId xmlns:a16="http://schemas.microsoft.com/office/drawing/2014/main" xmlns="" id="{00000000-0008-0000-0700-00000C0C0000}"/>
            </a:ext>
          </a:extLst>
        </xdr:cNvPr>
        <xdr:cNvSpPr>
          <a:spLocks noChangeArrowheads="1"/>
        </xdr:cNvSpPr>
      </xdr:nvSpPr>
      <xdr:spPr bwMode="auto">
        <a:xfrm>
          <a:off x="4772025" y="17183100"/>
          <a:ext cx="43624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9</xdr:col>
      <xdr:colOff>0</xdr:colOff>
      <xdr:row>111</xdr:row>
      <xdr:rowOff>0</xdr:rowOff>
    </xdr:to>
    <xdr:sp macro="" textlink="">
      <xdr:nvSpPr>
        <xdr:cNvPr id="3085" name="Rectangle 13">
          <a:extLst>
            <a:ext uri="{FF2B5EF4-FFF2-40B4-BE49-F238E27FC236}">
              <a16:creationId xmlns:a16="http://schemas.microsoft.com/office/drawing/2014/main" xmlns="" id="{00000000-0008-0000-0700-00000D0C0000}"/>
            </a:ext>
          </a:extLst>
        </xdr:cNvPr>
        <xdr:cNvSpPr>
          <a:spLocks noChangeArrowheads="1"/>
        </xdr:cNvSpPr>
      </xdr:nvSpPr>
      <xdr:spPr bwMode="auto">
        <a:xfrm>
          <a:off x="4772025" y="17183100"/>
          <a:ext cx="4362450" cy="1781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9</xdr:col>
      <xdr:colOff>0</xdr:colOff>
      <xdr:row>113</xdr:row>
      <xdr:rowOff>0</xdr:rowOff>
    </xdr:to>
    <xdr:sp macro="" textlink="">
      <xdr:nvSpPr>
        <xdr:cNvPr id="3086" name="Rectangle 14">
          <a:extLst>
            <a:ext uri="{FF2B5EF4-FFF2-40B4-BE49-F238E27FC236}">
              <a16:creationId xmlns:a16="http://schemas.microsoft.com/office/drawing/2014/main" xmlns="" id="{00000000-0008-0000-0700-00000E0C0000}"/>
            </a:ext>
          </a:extLst>
        </xdr:cNvPr>
        <xdr:cNvSpPr>
          <a:spLocks noChangeArrowheads="1"/>
        </xdr:cNvSpPr>
      </xdr:nvSpPr>
      <xdr:spPr bwMode="auto">
        <a:xfrm>
          <a:off x="4772025" y="19126200"/>
          <a:ext cx="43624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9</xdr:col>
      <xdr:colOff>0</xdr:colOff>
      <xdr:row>120</xdr:row>
      <xdr:rowOff>0</xdr:rowOff>
    </xdr:to>
    <xdr:sp macro="" textlink="">
      <xdr:nvSpPr>
        <xdr:cNvPr id="3087" name="Rectangle 15">
          <a:extLst>
            <a:ext uri="{FF2B5EF4-FFF2-40B4-BE49-F238E27FC236}">
              <a16:creationId xmlns:a16="http://schemas.microsoft.com/office/drawing/2014/main" xmlns="" id="{00000000-0008-0000-0700-00000F0C0000}"/>
            </a:ext>
          </a:extLst>
        </xdr:cNvPr>
        <xdr:cNvSpPr>
          <a:spLocks noChangeArrowheads="1"/>
        </xdr:cNvSpPr>
      </xdr:nvSpPr>
      <xdr:spPr bwMode="auto">
        <a:xfrm>
          <a:off x="4772025" y="19126200"/>
          <a:ext cx="4362450" cy="1295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3088" name="Rectangle 16">
          <a:extLst>
            <a:ext uri="{FF2B5EF4-FFF2-40B4-BE49-F238E27FC236}">
              <a16:creationId xmlns:a16="http://schemas.microsoft.com/office/drawing/2014/main" xmlns="" id="{00000000-0008-0000-0700-0000100C0000}"/>
            </a:ext>
          </a:extLst>
        </xdr:cNvPr>
        <xdr:cNvSpPr>
          <a:spLocks noChangeArrowheads="1"/>
        </xdr:cNvSpPr>
      </xdr:nvSpPr>
      <xdr:spPr bwMode="auto">
        <a:xfrm>
          <a:off x="0" y="18316575"/>
          <a:ext cx="460057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0</xdr:colOff>
      <xdr:row>118</xdr:row>
      <xdr:rowOff>0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xmlns="" id="{00000000-0008-0000-0700-0000110C0000}"/>
            </a:ext>
          </a:extLst>
        </xdr:cNvPr>
        <xdr:cNvSpPr>
          <a:spLocks noChangeArrowheads="1"/>
        </xdr:cNvSpPr>
      </xdr:nvSpPr>
      <xdr:spPr bwMode="auto">
        <a:xfrm>
          <a:off x="0" y="19935825"/>
          <a:ext cx="460057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3090" name="Rectangle 18">
          <a:extLst>
            <a:ext uri="{FF2B5EF4-FFF2-40B4-BE49-F238E27FC236}">
              <a16:creationId xmlns:a16="http://schemas.microsoft.com/office/drawing/2014/main" xmlns="" id="{00000000-0008-0000-0700-0000120C0000}"/>
            </a:ext>
          </a:extLst>
        </xdr:cNvPr>
        <xdr:cNvSpPr>
          <a:spLocks noChangeArrowheads="1"/>
        </xdr:cNvSpPr>
      </xdr:nvSpPr>
      <xdr:spPr bwMode="auto">
        <a:xfrm>
          <a:off x="0" y="19935825"/>
          <a:ext cx="4600575" cy="1000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3091" name="Rectangle 19">
          <a:extLst>
            <a:ext uri="{FF2B5EF4-FFF2-40B4-BE49-F238E27FC236}">
              <a16:creationId xmlns:a16="http://schemas.microsoft.com/office/drawing/2014/main" xmlns="" id="{00000000-0008-0000-0700-0000130C0000}"/>
            </a:ext>
          </a:extLst>
        </xdr:cNvPr>
        <xdr:cNvSpPr>
          <a:spLocks noChangeArrowheads="1"/>
        </xdr:cNvSpPr>
      </xdr:nvSpPr>
      <xdr:spPr bwMode="auto">
        <a:xfrm>
          <a:off x="0" y="18316575"/>
          <a:ext cx="4600575" cy="1457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105</xdr:row>
      <xdr:rowOff>0</xdr:rowOff>
    </xdr:to>
    <xdr:sp macro="" textlink="">
      <xdr:nvSpPr>
        <xdr:cNvPr id="3092" name="Rectangle 20">
          <a:extLst>
            <a:ext uri="{FF2B5EF4-FFF2-40B4-BE49-F238E27FC236}">
              <a16:creationId xmlns:a16="http://schemas.microsoft.com/office/drawing/2014/main" xmlns="" id="{00000000-0008-0000-0700-0000140C0000}"/>
            </a:ext>
          </a:extLst>
        </xdr:cNvPr>
        <xdr:cNvSpPr>
          <a:spLocks noChangeArrowheads="1"/>
        </xdr:cNvSpPr>
      </xdr:nvSpPr>
      <xdr:spPr bwMode="auto">
        <a:xfrm>
          <a:off x="0" y="14106525"/>
          <a:ext cx="4600575" cy="388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93" name="Rectangle 21">
          <a:extLst>
            <a:ext uri="{FF2B5EF4-FFF2-40B4-BE49-F238E27FC236}">
              <a16:creationId xmlns:a16="http://schemas.microsoft.com/office/drawing/2014/main" xmlns="" id="{00000000-0008-0000-0700-0000150C0000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4600575" cy="12144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3094" name="Rectangle 22">
          <a:extLst>
            <a:ext uri="{FF2B5EF4-FFF2-40B4-BE49-F238E27FC236}">
              <a16:creationId xmlns:a16="http://schemas.microsoft.com/office/drawing/2014/main" xmlns="" id="{00000000-0008-0000-0700-0000160C0000}"/>
            </a:ext>
          </a:extLst>
        </xdr:cNvPr>
        <xdr:cNvSpPr>
          <a:spLocks noChangeArrowheads="1"/>
        </xdr:cNvSpPr>
      </xdr:nvSpPr>
      <xdr:spPr bwMode="auto">
        <a:xfrm>
          <a:off x="4772025" y="609600"/>
          <a:ext cx="4362450" cy="12144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pt-B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28575</xdr:colOff>
          <xdr:row>0</xdr:row>
          <xdr:rowOff>28575</xdr:rowOff>
        </xdr:from>
        <xdr:ext cx="666750" cy="209550"/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7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22860" rIns="18288" bIns="22860" anchor="ctr" upright="1">
              <a:spAutoFit/>
            </a:bodyPr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OPÇÕES</a:t>
              </a:r>
            </a:p>
          </xdr:txBody>
        </xdr:sp>
        <xdr:clientData fPrintsWithSheet="0"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RKET%20ACCESS%20AND%20PRICING\PRICING\PRECOS\Aum_pre&#231;o_mar2017\Estimativa%20de%20Reajuste\Planilha%20xls%20do%20sistema%20SAMM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ICING\PRECOS\Aum_pre&#231;o_mar2017\Estimativa%20de%20Reajuste\Plan_Preco_2017327171142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RJ1DAT01\setoriais\DOCUME~1\m162127\LOCALS~1\Temp\notes6030C8\FARMA%20ETICOS\PHARMA\ASSESSOR\PRECOS\LISTA%20DE%20PRE&#199;OS\2008\Merck\PRE&#199;OS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</sheetNames>
    <sheetDataSet>
      <sheetData sheetId="0">
        <row r="18">
          <cell r="A18">
            <v>7891721023477</v>
          </cell>
          <cell r="B18">
            <v>1008902800028</v>
          </cell>
          <cell r="C18">
            <v>525400201116111</v>
          </cell>
          <cell r="D18" t="str">
            <v>ACICLOVIR</v>
          </cell>
          <cell r="E18" t="str">
            <v>200 MG COM CT FR PLAS OPC X 25</v>
          </cell>
          <cell r="F18" t="str">
            <v>Comprimido</v>
          </cell>
          <cell r="G18"/>
          <cell r="H18"/>
          <cell r="I18">
            <v>25</v>
          </cell>
          <cell r="J18"/>
          <cell r="K18" t="str">
            <v>Conformidade</v>
          </cell>
          <cell r="L18">
            <v>1</v>
          </cell>
          <cell r="M18" t="str">
            <v>Tarja Vermelha</v>
          </cell>
          <cell r="N18" t="str">
            <v>Não</v>
          </cell>
          <cell r="O18" t="str">
            <v>Não</v>
          </cell>
          <cell r="P18" t="str">
            <v>Não</v>
          </cell>
          <cell r="Q18" t="str">
            <v>I</v>
          </cell>
          <cell r="R18"/>
          <cell r="S18" t="str">
            <v>Genérico</v>
          </cell>
          <cell r="T18" t="str">
            <v>Monitorado</v>
          </cell>
          <cell r="U18"/>
          <cell r="V18" t="str">
            <v>59277-89-3</v>
          </cell>
          <cell r="W18"/>
          <cell r="X18"/>
          <cell r="Y18" t="str">
            <v>MG</v>
          </cell>
          <cell r="Z18">
            <v>82</v>
          </cell>
          <cell r="AA18" t="str">
            <v>342 - ANTIVIRAIS PARA HERPES</v>
          </cell>
          <cell r="AB18" t="str">
            <v>N</v>
          </cell>
          <cell r="AC18" t="str">
            <v>N</v>
          </cell>
          <cell r="AD18">
            <v>0</v>
          </cell>
          <cell r="AE18" t="str">
            <v>N</v>
          </cell>
          <cell r="AF18">
            <v>0</v>
          </cell>
          <cell r="AG18">
            <v>65.16</v>
          </cell>
          <cell r="AH18">
            <v>69.09</v>
          </cell>
          <cell r="AI18">
            <v>0</v>
          </cell>
          <cell r="AJ18">
            <v>69.930000000000007</v>
          </cell>
          <cell r="AK18">
            <v>70.790000000000006</v>
          </cell>
          <cell r="AL18">
            <v>0</v>
          </cell>
          <cell r="AM18">
            <v>69.09</v>
          </cell>
          <cell r="AN18">
            <v>0</v>
          </cell>
          <cell r="AO18">
            <v>90.08</v>
          </cell>
          <cell r="AP18">
            <v>95.51</v>
          </cell>
          <cell r="AQ18">
            <v>0</v>
          </cell>
          <cell r="AR18">
            <v>96.67</v>
          </cell>
          <cell r="AS18">
            <v>97.86</v>
          </cell>
          <cell r="AT18">
            <v>0</v>
          </cell>
          <cell r="AU18">
            <v>95.51</v>
          </cell>
          <cell r="AV18">
            <v>0</v>
          </cell>
          <cell r="AW18">
            <v>68.260000000000005</v>
          </cell>
          <cell r="AX18">
            <v>72.37</v>
          </cell>
          <cell r="AY18">
            <v>72.81</v>
          </cell>
          <cell r="AZ18">
            <v>73.260000000000005</v>
          </cell>
          <cell r="BA18">
            <v>74.16</v>
          </cell>
          <cell r="BB18">
            <v>74.16</v>
          </cell>
          <cell r="BC18">
            <v>72.37</v>
          </cell>
          <cell r="BD18">
            <v>0</v>
          </cell>
          <cell r="BE18">
            <v>94.37</v>
          </cell>
          <cell r="BF18">
            <v>100.05</v>
          </cell>
          <cell r="BG18">
            <v>100.66</v>
          </cell>
          <cell r="BH18">
            <v>101.27</v>
          </cell>
          <cell r="BI18">
            <v>102.52</v>
          </cell>
          <cell r="BJ18">
            <v>103.81</v>
          </cell>
          <cell r="BK18">
            <v>100.05</v>
          </cell>
        </row>
        <row r="19">
          <cell r="A19"/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</row>
        <row r="20">
          <cell r="A20"/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</row>
        <row r="21">
          <cell r="A21">
            <v>7891721023484</v>
          </cell>
          <cell r="B21">
            <v>1008902800060</v>
          </cell>
          <cell r="C21">
            <v>525400202112111</v>
          </cell>
          <cell r="D21" t="str">
            <v>ACICLOVIR</v>
          </cell>
          <cell r="E21" t="str">
            <v>400 MG COM CT FR PLAS OPC X 30</v>
          </cell>
          <cell r="F21" t="str">
            <v>Comprimido</v>
          </cell>
          <cell r="G21"/>
          <cell r="H21"/>
          <cell r="I21">
            <v>30</v>
          </cell>
          <cell r="J21"/>
          <cell r="K21" t="str">
            <v>Conformidade</v>
          </cell>
          <cell r="L21">
            <v>1</v>
          </cell>
          <cell r="M21" t="str">
            <v>Tarja Vermelha</v>
          </cell>
          <cell r="N21" t="str">
            <v>Não</v>
          </cell>
          <cell r="O21" t="str">
            <v>Não</v>
          </cell>
          <cell r="P21" t="str">
            <v>Não</v>
          </cell>
          <cell r="Q21" t="str">
            <v>I</v>
          </cell>
          <cell r="R21"/>
          <cell r="S21" t="str">
            <v>Genérico</v>
          </cell>
          <cell r="T21" t="str">
            <v>Monitorado</v>
          </cell>
          <cell r="U21"/>
          <cell r="V21" t="str">
            <v>59277-89-3</v>
          </cell>
          <cell r="W21"/>
          <cell r="X21"/>
          <cell r="Y21" t="str">
            <v>MG</v>
          </cell>
          <cell r="Z21">
            <v>82</v>
          </cell>
          <cell r="AA21" t="str">
            <v>342 - ANTIVIRAIS PARA HERPES</v>
          </cell>
          <cell r="AB21" t="str">
            <v>N</v>
          </cell>
          <cell r="AC21" t="str">
            <v>N</v>
          </cell>
          <cell r="AD21">
            <v>0</v>
          </cell>
          <cell r="AE21" t="str">
            <v>N</v>
          </cell>
          <cell r="AF21">
            <v>0</v>
          </cell>
          <cell r="AG21">
            <v>127.94</v>
          </cell>
          <cell r="AH21">
            <v>135.65</v>
          </cell>
          <cell r="AI21">
            <v>0</v>
          </cell>
          <cell r="AJ21">
            <v>137.30000000000001</v>
          </cell>
          <cell r="AK21">
            <v>139</v>
          </cell>
          <cell r="AL21">
            <v>0</v>
          </cell>
          <cell r="AM21">
            <v>135.65</v>
          </cell>
          <cell r="AN21">
            <v>0</v>
          </cell>
          <cell r="AO21">
            <v>176.87</v>
          </cell>
          <cell r="AP21">
            <v>187.53</v>
          </cell>
          <cell r="AQ21">
            <v>0</v>
          </cell>
          <cell r="AR21">
            <v>189.81</v>
          </cell>
          <cell r="AS21">
            <v>192.16</v>
          </cell>
          <cell r="AT21">
            <v>0</v>
          </cell>
          <cell r="AU21">
            <v>187.53</v>
          </cell>
          <cell r="AV21">
            <v>0</v>
          </cell>
          <cell r="AW21">
            <v>134.03</v>
          </cell>
          <cell r="AX21">
            <v>142.1</v>
          </cell>
          <cell r="AY21">
            <v>142.96</v>
          </cell>
          <cell r="AZ21">
            <v>143.83000000000001</v>
          </cell>
          <cell r="BA21">
            <v>145.61000000000001</v>
          </cell>
          <cell r="BB21">
            <v>145.61000000000001</v>
          </cell>
          <cell r="BC21">
            <v>142.1</v>
          </cell>
          <cell r="BD21">
            <v>0</v>
          </cell>
          <cell r="BE21">
            <v>185.29</v>
          </cell>
          <cell r="BF21">
            <v>196.44</v>
          </cell>
          <cell r="BG21">
            <v>197.63</v>
          </cell>
          <cell r="BH21">
            <v>198.84</v>
          </cell>
          <cell r="BI21">
            <v>201.3</v>
          </cell>
          <cell r="BJ21">
            <v>203.81</v>
          </cell>
          <cell r="BK21">
            <v>196.44</v>
          </cell>
        </row>
        <row r="22">
          <cell r="A22"/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</row>
        <row r="23">
          <cell r="A23"/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</row>
        <row r="24">
          <cell r="A24">
            <v>7891721200915</v>
          </cell>
          <cell r="B24">
            <v>1008903340063</v>
          </cell>
          <cell r="C24">
            <v>525400204166111</v>
          </cell>
          <cell r="D24" t="str">
            <v>ACICLOVIR</v>
          </cell>
          <cell r="E24" t="str">
            <v>50 MG/G CREM DERM CT BG AL X 10 G</v>
          </cell>
          <cell r="F24" t="str">
            <v>CREME DERMATOLÓGICO</v>
          </cell>
          <cell r="G24">
            <v>1</v>
          </cell>
          <cell r="H24" t="str">
            <v>BISNAGA</v>
          </cell>
          <cell r="I24">
            <v>10</v>
          </cell>
          <cell r="J24" t="str">
            <v>G</v>
          </cell>
          <cell r="K24" t="str">
            <v>Conformidade</v>
          </cell>
          <cell r="L24">
            <v>2</v>
          </cell>
          <cell r="M24" t="str">
            <v>Tarja Vermelha</v>
          </cell>
          <cell r="N24" t="str">
            <v>Não</v>
          </cell>
          <cell r="O24" t="str">
            <v>Não</v>
          </cell>
          <cell r="P24" t="str">
            <v>Não</v>
          </cell>
          <cell r="Q24" t="str">
            <v>N</v>
          </cell>
          <cell r="R24"/>
          <cell r="S24" t="str">
            <v>Genérico</v>
          </cell>
          <cell r="T24" t="str">
            <v>Monitorado</v>
          </cell>
          <cell r="U24"/>
          <cell r="V24" t="str">
            <v>59277-89-3</v>
          </cell>
          <cell r="W24"/>
          <cell r="X24"/>
          <cell r="Y24" t="str">
            <v>MG/G</v>
          </cell>
          <cell r="Z24">
            <v>82</v>
          </cell>
          <cell r="AA24" t="str">
            <v>233 - ANTIVIRAIS TÓPICOS</v>
          </cell>
          <cell r="AB24" t="str">
            <v>N</v>
          </cell>
          <cell r="AC24" t="str">
            <v>N</v>
          </cell>
          <cell r="AD24">
            <v>0</v>
          </cell>
          <cell r="AE24" t="str">
            <v>N</v>
          </cell>
          <cell r="AF24">
            <v>0</v>
          </cell>
          <cell r="AG24">
            <v>13.24</v>
          </cell>
          <cell r="AH24">
            <v>14.16</v>
          </cell>
          <cell r="AI24">
            <v>0</v>
          </cell>
          <cell r="AJ24">
            <v>14.36</v>
          </cell>
          <cell r="AK24">
            <v>14.56</v>
          </cell>
          <cell r="AL24">
            <v>0</v>
          </cell>
          <cell r="AM24">
            <v>12.32</v>
          </cell>
          <cell r="AN24">
            <v>0</v>
          </cell>
          <cell r="AO24">
            <v>17.690000000000001</v>
          </cell>
          <cell r="AP24">
            <v>18.87</v>
          </cell>
          <cell r="AQ24">
            <v>0</v>
          </cell>
          <cell r="AR24">
            <v>19.13</v>
          </cell>
          <cell r="AS24">
            <v>19.39</v>
          </cell>
          <cell r="AT24">
            <v>0</v>
          </cell>
          <cell r="AU24">
            <v>17.03</v>
          </cell>
          <cell r="AV24">
            <v>0</v>
          </cell>
          <cell r="AW24">
            <v>13.65</v>
          </cell>
          <cell r="AX24">
            <v>14.59</v>
          </cell>
          <cell r="AY24">
            <v>14.7</v>
          </cell>
          <cell r="AZ24">
            <v>14.8</v>
          </cell>
          <cell r="BA24">
            <v>15.01</v>
          </cell>
          <cell r="BB24">
            <v>15.01</v>
          </cell>
          <cell r="BC24">
            <v>12.7</v>
          </cell>
          <cell r="BD24">
            <v>0</v>
          </cell>
          <cell r="BE24">
            <v>18.23</v>
          </cell>
          <cell r="BF24">
            <v>19.45</v>
          </cell>
          <cell r="BG24">
            <v>19.59</v>
          </cell>
          <cell r="BH24">
            <v>19.72</v>
          </cell>
          <cell r="BI24">
            <v>19.989999999999998</v>
          </cell>
          <cell r="BJ24">
            <v>20.27</v>
          </cell>
          <cell r="BK24">
            <v>17.559999999999999</v>
          </cell>
        </row>
        <row r="25">
          <cell r="A25"/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</row>
        <row r="26">
          <cell r="A26">
            <v>7891721023965</v>
          </cell>
          <cell r="B26">
            <v>1008902710169</v>
          </cell>
          <cell r="C26">
            <v>525413120044605</v>
          </cell>
          <cell r="D26" t="str">
            <v>ALGINAC</v>
          </cell>
          <cell r="E26" t="str">
            <v>1 MG + 100 MG + 100 MG + 100 MG COM REV LIB RETARD CT BL AL AL X 10</v>
          </cell>
          <cell r="F26" t="str">
            <v>Comprimido revestido de liberação retardada</v>
          </cell>
          <cell r="G26"/>
          <cell r="H26"/>
          <cell r="I26">
            <v>10</v>
          </cell>
          <cell r="J26"/>
          <cell r="K26" t="str">
            <v>Conformidade</v>
          </cell>
          <cell r="L26">
            <v>3</v>
          </cell>
          <cell r="M26" t="str">
            <v>Tarja Vermelha</v>
          </cell>
          <cell r="N26" t="str">
            <v>Não</v>
          </cell>
          <cell r="O26" t="str">
            <v>Não</v>
          </cell>
          <cell r="P26" t="str">
            <v>Não</v>
          </cell>
          <cell r="Q26" t="str">
            <v>II</v>
          </cell>
          <cell r="R26"/>
          <cell r="S26" t="str">
            <v>Genérico</v>
          </cell>
          <cell r="T26" t="str">
            <v>Monitorado</v>
          </cell>
          <cell r="U26"/>
          <cell r="V26" t="str">
            <v>68-19-9</v>
          </cell>
          <cell r="W26"/>
          <cell r="X26"/>
          <cell r="Y26" t="str">
            <v>MG</v>
          </cell>
          <cell r="Z26">
            <v>1984</v>
          </cell>
          <cell r="AA26" t="str">
            <v>467 - ANTI-REUMÁTICOS NÃO ESTEROIDAIS ASSOCIADOS</v>
          </cell>
          <cell r="AB26" t="str">
            <v>N</v>
          </cell>
          <cell r="AC26" t="str">
            <v>N</v>
          </cell>
          <cell r="AD26"/>
          <cell r="AE26" t="str">
            <v>N</v>
          </cell>
          <cell r="AF26">
            <v>0</v>
          </cell>
          <cell r="AG26">
            <v>33.44</v>
          </cell>
          <cell r="AH26">
            <v>35.46</v>
          </cell>
          <cell r="AI26">
            <v>0</v>
          </cell>
          <cell r="AJ26">
            <v>35.89</v>
          </cell>
          <cell r="AK26">
            <v>36.33</v>
          </cell>
          <cell r="AL26">
            <v>0</v>
          </cell>
          <cell r="AM26">
            <v>35.46</v>
          </cell>
          <cell r="AN26">
            <v>0</v>
          </cell>
          <cell r="AO26">
            <v>46.23</v>
          </cell>
          <cell r="AP26">
            <v>49.02</v>
          </cell>
          <cell r="AQ26">
            <v>0</v>
          </cell>
          <cell r="AR26">
            <v>49.61</v>
          </cell>
          <cell r="AS26">
            <v>50.22</v>
          </cell>
          <cell r="AT26">
            <v>0</v>
          </cell>
          <cell r="AU26">
            <v>49.02</v>
          </cell>
          <cell r="AV26">
            <v>0</v>
          </cell>
          <cell r="AW26">
            <v>33.9</v>
          </cell>
          <cell r="AX26">
            <v>35.94</v>
          </cell>
          <cell r="AY26">
            <v>36.159999999999997</v>
          </cell>
          <cell r="AZ26">
            <v>36.380000000000003</v>
          </cell>
          <cell r="BA26">
            <v>36.83</v>
          </cell>
          <cell r="BB26">
            <v>36.83</v>
          </cell>
          <cell r="BC26">
            <v>35.94</v>
          </cell>
          <cell r="BD26">
            <v>0</v>
          </cell>
          <cell r="BE26">
            <v>46.86</v>
          </cell>
          <cell r="BF26">
            <v>49.68</v>
          </cell>
          <cell r="BG26">
            <v>49.99</v>
          </cell>
          <cell r="BH26">
            <v>50.29</v>
          </cell>
          <cell r="BI26">
            <v>50.92</v>
          </cell>
          <cell r="BJ26">
            <v>51.55</v>
          </cell>
          <cell r="BK26">
            <v>49.68</v>
          </cell>
        </row>
        <row r="27">
          <cell r="A27"/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</row>
        <row r="28">
          <cell r="A28">
            <v>7891721023958</v>
          </cell>
          <cell r="B28">
            <v>1008902710150</v>
          </cell>
          <cell r="C28">
            <v>525413120044505</v>
          </cell>
          <cell r="D28" t="str">
            <v>ALGINAC</v>
          </cell>
          <cell r="E28" t="str">
            <v>1 MG + 100 MG + 100 MG + 100 MG COM REV LIB RETARD CT BL AL AL X 4 </v>
          </cell>
          <cell r="F28" t="str">
            <v>Comprimido revestido de liberação retardada</v>
          </cell>
          <cell r="G28"/>
          <cell r="H28"/>
          <cell r="I28">
            <v>4</v>
          </cell>
          <cell r="J28"/>
          <cell r="K28" t="str">
            <v>Conformidade</v>
          </cell>
          <cell r="L28">
            <v>3</v>
          </cell>
          <cell r="M28" t="str">
            <v>Tarja Vermelha</v>
          </cell>
          <cell r="N28" t="str">
            <v>Não</v>
          </cell>
          <cell r="O28" t="str">
            <v>Não</v>
          </cell>
          <cell r="P28" t="str">
            <v>Não</v>
          </cell>
          <cell r="Q28" t="str">
            <v>II</v>
          </cell>
          <cell r="R28"/>
          <cell r="S28" t="str">
            <v>Genérico</v>
          </cell>
          <cell r="T28" t="str">
            <v>Monitorado</v>
          </cell>
          <cell r="U28"/>
          <cell r="V28" t="str">
            <v>68-19-9</v>
          </cell>
          <cell r="W28"/>
          <cell r="X28"/>
          <cell r="Y28" t="str">
            <v>MG</v>
          </cell>
          <cell r="Z28">
            <v>1984</v>
          </cell>
          <cell r="AA28" t="str">
            <v>467 - ANTI-REUMÁTICOS NÃO ESTEROIDAIS ASSOCIADOS</v>
          </cell>
          <cell r="AB28" t="str">
            <v>N</v>
          </cell>
          <cell r="AC28" t="str">
            <v>N</v>
          </cell>
          <cell r="AD28"/>
          <cell r="AE28" t="str">
            <v>N</v>
          </cell>
          <cell r="AF28">
            <v>0</v>
          </cell>
          <cell r="AG28">
            <v>14.75</v>
          </cell>
          <cell r="AH28">
            <v>15.64</v>
          </cell>
          <cell r="AI28">
            <v>0</v>
          </cell>
          <cell r="AJ28">
            <v>15.83</v>
          </cell>
          <cell r="AK28">
            <v>16.02</v>
          </cell>
          <cell r="AL28">
            <v>0</v>
          </cell>
          <cell r="AM28">
            <v>15.64</v>
          </cell>
          <cell r="AN28">
            <v>0</v>
          </cell>
          <cell r="AO28">
            <v>20.39</v>
          </cell>
          <cell r="AP28">
            <v>21.62</v>
          </cell>
          <cell r="AQ28">
            <v>0</v>
          </cell>
          <cell r="AR28">
            <v>21.88</v>
          </cell>
          <cell r="AS28">
            <v>22.15</v>
          </cell>
          <cell r="AT28">
            <v>0</v>
          </cell>
          <cell r="AU28">
            <v>21.62</v>
          </cell>
          <cell r="AV28">
            <v>0</v>
          </cell>
          <cell r="AW28">
            <v>14.95</v>
          </cell>
          <cell r="AX28">
            <v>15.85</v>
          </cell>
          <cell r="AY28">
            <v>15.95</v>
          </cell>
          <cell r="AZ28">
            <v>16.05</v>
          </cell>
          <cell r="BA28">
            <v>16.239999999999998</v>
          </cell>
          <cell r="BB28">
            <v>16.239999999999998</v>
          </cell>
          <cell r="BC28">
            <v>15.85</v>
          </cell>
          <cell r="BD28">
            <v>0</v>
          </cell>
          <cell r="BE28">
            <v>20.67</v>
          </cell>
          <cell r="BF28">
            <v>21.91</v>
          </cell>
          <cell r="BG28">
            <v>22.05</v>
          </cell>
          <cell r="BH28">
            <v>22.18</v>
          </cell>
          <cell r="BI28">
            <v>22.45</v>
          </cell>
          <cell r="BJ28">
            <v>22.74</v>
          </cell>
          <cell r="BK28">
            <v>21.91</v>
          </cell>
        </row>
        <row r="29">
          <cell r="A29">
            <v>7891721013010</v>
          </cell>
          <cell r="B29">
            <v>1008902710118</v>
          </cell>
          <cell r="C29">
            <v>525400304111317</v>
          </cell>
          <cell r="D29" t="str">
            <v>ALGINAC</v>
          </cell>
          <cell r="E29" t="str">
            <v>1 MG + 50 MG + 50 MG + 50 MG COM REV CT BL AL PVDC INC X 15</v>
          </cell>
          <cell r="F29" t="str">
            <v>Comprimido revestido</v>
          </cell>
          <cell r="G29"/>
          <cell r="H29"/>
          <cell r="I29">
            <v>15</v>
          </cell>
          <cell r="J29"/>
          <cell r="K29" t="str">
            <v>Conformidade</v>
          </cell>
          <cell r="L29">
            <v>3</v>
          </cell>
          <cell r="M29" t="str">
            <v>Tarja Vermelha</v>
          </cell>
          <cell r="N29" t="str">
            <v>Não</v>
          </cell>
          <cell r="O29" t="str">
            <v>Não</v>
          </cell>
          <cell r="P29" t="str">
            <v>Não</v>
          </cell>
          <cell r="Q29" t="str">
            <v>II</v>
          </cell>
          <cell r="R29"/>
          <cell r="S29" t="str">
            <v>Genérico</v>
          </cell>
          <cell r="T29" t="str">
            <v>Monitorado</v>
          </cell>
          <cell r="U29"/>
          <cell r="V29" t="str">
            <v>68-19-9,532-43-4,15307-79-6,58-56-0</v>
          </cell>
          <cell r="W29"/>
          <cell r="X29"/>
          <cell r="Y29" t="str">
            <v>MG</v>
          </cell>
          <cell r="Z29" t="str">
            <v>01984,08514,02930,07167</v>
          </cell>
          <cell r="AA29" t="str">
            <v>467 - ANTI-REUMÁTICOS NÃO ESTEROIDAIS ASSOCIADOS</v>
          </cell>
          <cell r="AB29" t="str">
            <v>N</v>
          </cell>
          <cell r="AC29" t="str">
            <v>N</v>
          </cell>
          <cell r="AD29">
            <v>0</v>
          </cell>
          <cell r="AE29" t="str">
            <v>N</v>
          </cell>
          <cell r="AF29">
            <v>0</v>
          </cell>
          <cell r="AG29">
            <v>17</v>
          </cell>
          <cell r="AH29">
            <v>18.02</v>
          </cell>
          <cell r="AI29">
            <v>0</v>
          </cell>
          <cell r="AJ29">
            <v>18.239999999999998</v>
          </cell>
          <cell r="AK29">
            <v>18.46</v>
          </cell>
          <cell r="AL29">
            <v>0</v>
          </cell>
          <cell r="AM29">
            <v>18.02</v>
          </cell>
          <cell r="AN29">
            <v>0</v>
          </cell>
          <cell r="AO29">
            <v>23.49</v>
          </cell>
          <cell r="AP29">
            <v>24.91</v>
          </cell>
          <cell r="AQ29">
            <v>0</v>
          </cell>
          <cell r="AR29">
            <v>25.21</v>
          </cell>
          <cell r="AS29">
            <v>25.52</v>
          </cell>
          <cell r="AT29">
            <v>0</v>
          </cell>
          <cell r="AU29">
            <v>24.91</v>
          </cell>
          <cell r="AV29">
            <v>0</v>
          </cell>
          <cell r="AW29">
            <v>17.23</v>
          </cell>
          <cell r="AX29">
            <v>18.260000000000002</v>
          </cell>
          <cell r="AY29">
            <v>18.37</v>
          </cell>
          <cell r="AZ29">
            <v>18.489999999999998</v>
          </cell>
          <cell r="BA29">
            <v>18.72</v>
          </cell>
          <cell r="BB29">
            <v>18.72</v>
          </cell>
          <cell r="BC29">
            <v>18.260000000000002</v>
          </cell>
          <cell r="BD29">
            <v>0</v>
          </cell>
          <cell r="BE29">
            <v>23.82</v>
          </cell>
          <cell r="BF29">
            <v>25.24</v>
          </cell>
          <cell r="BG29">
            <v>25.4</v>
          </cell>
          <cell r="BH29">
            <v>25.56</v>
          </cell>
          <cell r="BI29">
            <v>25.88</v>
          </cell>
          <cell r="BJ29">
            <v>26.2</v>
          </cell>
          <cell r="BK29">
            <v>25.24</v>
          </cell>
        </row>
        <row r="30">
          <cell r="A30"/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</row>
        <row r="31">
          <cell r="A31"/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</row>
        <row r="32">
          <cell r="A32">
            <v>7891721008405</v>
          </cell>
          <cell r="B32">
            <v>1008902710088</v>
          </cell>
          <cell r="C32">
            <v>525400301110417</v>
          </cell>
          <cell r="D32" t="str">
            <v>ALGINAC</v>
          </cell>
          <cell r="E32" t="str">
            <v>1 MG + 50 MG + 50 MG + 50 MG COM REV CT BL AL PVDC INC X 30 </v>
          </cell>
          <cell r="F32" t="str">
            <v>Comprimido revestido</v>
          </cell>
          <cell r="G32"/>
          <cell r="H32"/>
          <cell r="I32">
            <v>30</v>
          </cell>
          <cell r="J32"/>
          <cell r="K32" t="str">
            <v>Conformidade</v>
          </cell>
          <cell r="L32">
            <v>3</v>
          </cell>
          <cell r="M32" t="str">
            <v>Tarja Vermelha</v>
          </cell>
          <cell r="N32" t="str">
            <v>Não</v>
          </cell>
          <cell r="O32" t="str">
            <v>Não</v>
          </cell>
          <cell r="P32" t="str">
            <v>Não</v>
          </cell>
          <cell r="Q32" t="str">
            <v>II</v>
          </cell>
          <cell r="R32"/>
          <cell r="S32" t="str">
            <v>Genérico</v>
          </cell>
          <cell r="T32" t="str">
            <v>Monitorado</v>
          </cell>
          <cell r="U32"/>
          <cell r="V32" t="str">
            <v>68-19-9,532-43-4,15307-79-6,58-56-0</v>
          </cell>
          <cell r="W32"/>
          <cell r="X32"/>
          <cell r="Y32" t="str">
            <v>MG</v>
          </cell>
          <cell r="Z32" t="str">
            <v>01984,08514,02930,07167</v>
          </cell>
          <cell r="AA32" t="str">
            <v>467 - ANTI-REUMÁTICOS NÃO ESTEROIDAIS ASSOCIADOS</v>
          </cell>
          <cell r="AB32" t="str">
            <v>N</v>
          </cell>
          <cell r="AC32" t="str">
            <v>N</v>
          </cell>
          <cell r="AD32">
            <v>0</v>
          </cell>
          <cell r="AE32" t="str">
            <v>N</v>
          </cell>
          <cell r="AF32">
            <v>0</v>
          </cell>
          <cell r="AG32">
            <v>34.090000000000003</v>
          </cell>
          <cell r="AH32">
            <v>36.15</v>
          </cell>
          <cell r="AI32">
            <v>0</v>
          </cell>
          <cell r="AJ32">
            <v>36.590000000000003</v>
          </cell>
          <cell r="AK32">
            <v>37.04</v>
          </cell>
          <cell r="AL32">
            <v>0</v>
          </cell>
          <cell r="AM32">
            <v>36.15</v>
          </cell>
          <cell r="AN32">
            <v>0</v>
          </cell>
          <cell r="AO32">
            <v>47.13</v>
          </cell>
          <cell r="AP32">
            <v>49.97</v>
          </cell>
          <cell r="AQ32">
            <v>0</v>
          </cell>
          <cell r="AR32">
            <v>50.58</v>
          </cell>
          <cell r="AS32">
            <v>51.2</v>
          </cell>
          <cell r="AT32">
            <v>0</v>
          </cell>
          <cell r="AU32">
            <v>49.97</v>
          </cell>
          <cell r="AV32">
            <v>0</v>
          </cell>
          <cell r="AW32">
            <v>34.56</v>
          </cell>
          <cell r="AX32">
            <v>36.64</v>
          </cell>
          <cell r="AY32">
            <v>36.86</v>
          </cell>
          <cell r="AZ32">
            <v>37.090000000000003</v>
          </cell>
          <cell r="BA32">
            <v>37.549999999999997</v>
          </cell>
          <cell r="BB32">
            <v>37.549999999999997</v>
          </cell>
          <cell r="BC32">
            <v>36.64</v>
          </cell>
          <cell r="BD32">
            <v>0</v>
          </cell>
          <cell r="BE32">
            <v>47.78</v>
          </cell>
          <cell r="BF32">
            <v>50.65</v>
          </cell>
          <cell r="BG32">
            <v>50.96</v>
          </cell>
          <cell r="BH32">
            <v>51.27</v>
          </cell>
          <cell r="BI32">
            <v>51.91</v>
          </cell>
          <cell r="BJ32">
            <v>52.55</v>
          </cell>
          <cell r="BK32">
            <v>50.65</v>
          </cell>
        </row>
        <row r="33">
          <cell r="A33"/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</row>
        <row r="34">
          <cell r="A34"/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</row>
        <row r="35">
          <cell r="A35">
            <v>7891721012990</v>
          </cell>
          <cell r="B35">
            <v>1008902710101</v>
          </cell>
          <cell r="C35">
            <v>525400305116312</v>
          </cell>
          <cell r="D35" t="str">
            <v>ALGINAC</v>
          </cell>
          <cell r="E35" t="str">
            <v>1 MG + 50 MG + 50 MG + 50 MG COM REV CT BL AL PVDC INC X 4</v>
          </cell>
          <cell r="F35" t="str">
            <v>Comprimido revestido</v>
          </cell>
          <cell r="G35"/>
          <cell r="H35"/>
          <cell r="I35">
            <v>4</v>
          </cell>
          <cell r="J35"/>
          <cell r="K35" t="str">
            <v>Conformidade</v>
          </cell>
          <cell r="L35">
            <v>3</v>
          </cell>
          <cell r="M35" t="str">
            <v>Tarja Vermelha</v>
          </cell>
          <cell r="N35" t="str">
            <v>Não</v>
          </cell>
          <cell r="O35" t="str">
            <v>Não</v>
          </cell>
          <cell r="P35" t="str">
            <v>Não</v>
          </cell>
          <cell r="Q35" t="str">
            <v>II</v>
          </cell>
          <cell r="R35"/>
          <cell r="S35" t="str">
            <v>Genérico</v>
          </cell>
          <cell r="T35" t="str">
            <v>Monitorado</v>
          </cell>
          <cell r="U35"/>
          <cell r="V35" t="str">
            <v>68-19-9,532-43-4,15307-79-6,58-56-0</v>
          </cell>
          <cell r="W35"/>
          <cell r="X35"/>
          <cell r="Y35" t="str">
            <v>MG</v>
          </cell>
          <cell r="Z35" t="str">
            <v>01984,08514,02930,07167</v>
          </cell>
          <cell r="AA35" t="str">
            <v>467 - ANTI-REUMÁTICOS NÃO ESTEROIDAIS ASSOCIADOS</v>
          </cell>
          <cell r="AB35" t="str">
            <v>N</v>
          </cell>
          <cell r="AC35" t="str">
            <v>N</v>
          </cell>
          <cell r="AD35">
            <v>0</v>
          </cell>
          <cell r="AE35" t="str">
            <v>N</v>
          </cell>
          <cell r="AF35">
            <v>0</v>
          </cell>
          <cell r="AG35">
            <v>4.53</v>
          </cell>
          <cell r="AH35">
            <v>4.8</v>
          </cell>
          <cell r="AI35">
            <v>0</v>
          </cell>
          <cell r="AJ35">
            <v>4.8600000000000003</v>
          </cell>
          <cell r="AK35">
            <v>4.92</v>
          </cell>
          <cell r="AL35">
            <v>0</v>
          </cell>
          <cell r="AM35">
            <v>4.8</v>
          </cell>
          <cell r="AN35">
            <v>0</v>
          </cell>
          <cell r="AO35">
            <v>6.26</v>
          </cell>
          <cell r="AP35">
            <v>6.64</v>
          </cell>
          <cell r="AQ35">
            <v>0</v>
          </cell>
          <cell r="AR35">
            <v>6.72</v>
          </cell>
          <cell r="AS35">
            <v>6.8</v>
          </cell>
          <cell r="AT35">
            <v>0</v>
          </cell>
          <cell r="AU35">
            <v>6.64</v>
          </cell>
          <cell r="AV35">
            <v>0</v>
          </cell>
          <cell r="AW35">
            <v>4.59</v>
          </cell>
          <cell r="AX35">
            <v>4.87</v>
          </cell>
          <cell r="AY35">
            <v>4.9000000000000004</v>
          </cell>
          <cell r="AZ35">
            <v>4.93</v>
          </cell>
          <cell r="BA35">
            <v>4.99</v>
          </cell>
          <cell r="BB35">
            <v>4.99</v>
          </cell>
          <cell r="BC35">
            <v>4.87</v>
          </cell>
          <cell r="BD35">
            <v>0</v>
          </cell>
          <cell r="BE35">
            <v>6.35</v>
          </cell>
          <cell r="BF35">
            <v>6.73</v>
          </cell>
          <cell r="BG35">
            <v>6.77</v>
          </cell>
          <cell r="BH35">
            <v>6.81</v>
          </cell>
          <cell r="BI35">
            <v>6.9</v>
          </cell>
          <cell r="BJ35">
            <v>6.98</v>
          </cell>
          <cell r="BK35">
            <v>6.73</v>
          </cell>
        </row>
        <row r="36">
          <cell r="A36">
            <v>7891721008368</v>
          </cell>
          <cell r="B36">
            <v>1008902710045</v>
          </cell>
          <cell r="C36">
            <v>525400302151419</v>
          </cell>
          <cell r="D36" t="str">
            <v>ALGINAC</v>
          </cell>
          <cell r="E36" t="str">
            <v>5000 MCG + 100 MG + 100 MG + 75 MG SOL INJ CX C/ CAMA 3 AMP VD AMB X 1 ML + 3 AMP VD AMB X 2 ML</v>
          </cell>
          <cell r="F36" t="str">
            <v>Solução injetável</v>
          </cell>
          <cell r="G36"/>
          <cell r="H36" t="str">
            <v>CAIXA</v>
          </cell>
          <cell r="I36">
            <v>6</v>
          </cell>
          <cell r="J36" t="str">
            <v>AMPOLA</v>
          </cell>
          <cell r="K36" t="str">
            <v>Conformidade</v>
          </cell>
          <cell r="L36">
            <v>3</v>
          </cell>
          <cell r="M36" t="str">
            <v>Tarja Vermelha</v>
          </cell>
          <cell r="N36" t="str">
            <v>Não</v>
          </cell>
          <cell r="O36" t="str">
            <v>Não</v>
          </cell>
          <cell r="P36" t="str">
            <v>Não</v>
          </cell>
          <cell r="Q36" t="str">
            <v>II</v>
          </cell>
          <cell r="R36"/>
          <cell r="S36" t="str">
            <v>Genérico</v>
          </cell>
          <cell r="T36" t="str">
            <v>Monitorado</v>
          </cell>
          <cell r="U36"/>
          <cell r="V36" t="str">
            <v>68-19-9,58-56-0,67-03-8,15307-86-5</v>
          </cell>
          <cell r="W36"/>
          <cell r="X36"/>
          <cell r="Y36" t="str">
            <v>MG</v>
          </cell>
          <cell r="Z36" t="str">
            <v>01984,07167,08511,02926</v>
          </cell>
          <cell r="AA36" t="str">
            <v>467 - ANTI-REUMÁTICOS NÃO ESTEROIDAIS ASSOCIADOS</v>
          </cell>
          <cell r="AB36" t="str">
            <v>N</v>
          </cell>
          <cell r="AC36" t="str">
            <v>N</v>
          </cell>
          <cell r="AD36">
            <v>0</v>
          </cell>
          <cell r="AE36" t="str">
            <v>N</v>
          </cell>
          <cell r="AF36">
            <v>0</v>
          </cell>
          <cell r="AG36">
            <v>16.89</v>
          </cell>
          <cell r="AH36">
            <v>17.91</v>
          </cell>
          <cell r="AI36">
            <v>0</v>
          </cell>
          <cell r="AJ36">
            <v>18.12</v>
          </cell>
          <cell r="AK36">
            <v>18.350000000000001</v>
          </cell>
          <cell r="AL36">
            <v>0</v>
          </cell>
          <cell r="AM36">
            <v>17.91</v>
          </cell>
          <cell r="AN36">
            <v>0</v>
          </cell>
          <cell r="AO36">
            <v>23.35</v>
          </cell>
          <cell r="AP36">
            <v>24.76</v>
          </cell>
          <cell r="AQ36">
            <v>0</v>
          </cell>
          <cell r="AR36">
            <v>25.06</v>
          </cell>
          <cell r="AS36">
            <v>25.37</v>
          </cell>
          <cell r="AT36">
            <v>0</v>
          </cell>
          <cell r="AU36">
            <v>24.76</v>
          </cell>
          <cell r="AV36">
            <v>0</v>
          </cell>
          <cell r="AW36">
            <v>17.11</v>
          </cell>
          <cell r="AX36">
            <v>18.14</v>
          </cell>
          <cell r="AY36">
            <v>18.25</v>
          </cell>
          <cell r="AZ36">
            <v>18.37</v>
          </cell>
          <cell r="BA36">
            <v>18.59</v>
          </cell>
          <cell r="BB36">
            <v>18.59</v>
          </cell>
          <cell r="BC36">
            <v>18.14</v>
          </cell>
          <cell r="BD36">
            <v>0</v>
          </cell>
          <cell r="BE36">
            <v>23.65</v>
          </cell>
          <cell r="BF36">
            <v>25.08</v>
          </cell>
          <cell r="BG36">
            <v>25.23</v>
          </cell>
          <cell r="BH36">
            <v>25.39</v>
          </cell>
          <cell r="BI36">
            <v>25.7</v>
          </cell>
          <cell r="BJ36">
            <v>26.03</v>
          </cell>
          <cell r="BK36">
            <v>25.08</v>
          </cell>
        </row>
        <row r="37">
          <cell r="A37"/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/>
          <cell r="BH37"/>
          <cell r="BI37"/>
          <cell r="BJ37"/>
          <cell r="BK37"/>
        </row>
        <row r="38">
          <cell r="A38"/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/>
        </row>
        <row r="39">
          <cell r="A39">
            <v>7891721028922</v>
          </cell>
          <cell r="B39">
            <v>1008902710037</v>
          </cell>
          <cell r="C39">
            <v>525415070046003</v>
          </cell>
          <cell r="D39" t="str">
            <v>ALGINAC</v>
          </cell>
          <cell r="E39" t="str">
            <v>5000 MCG +100 MG + 100 MG + 75 MG SOL INJ CX C/ CAMA 1 AMP VD AMB X 1 ML + 1 AMP VD AMB X 2 ML</v>
          </cell>
          <cell r="F39" t="str">
            <v>Solução injetável</v>
          </cell>
          <cell r="G39">
            <v>1</v>
          </cell>
          <cell r="H39" t="str">
            <v>CAIXA</v>
          </cell>
          <cell r="I39">
            <v>2</v>
          </cell>
          <cell r="J39" t="str">
            <v>AMPOLA</v>
          </cell>
          <cell r="K39" t="str">
            <v>Conformidade</v>
          </cell>
          <cell r="L39">
            <v>3</v>
          </cell>
          <cell r="M39" t="str">
            <v>Tarja Vermelha</v>
          </cell>
          <cell r="N39" t="str">
            <v>Não</v>
          </cell>
          <cell r="O39" t="str">
            <v>Não</v>
          </cell>
          <cell r="P39" t="str">
            <v>Não</v>
          </cell>
          <cell r="Q39" t="str">
            <v>II</v>
          </cell>
          <cell r="R39"/>
          <cell r="S39" t="str">
            <v>Genérico</v>
          </cell>
          <cell r="T39" t="str">
            <v>Monitorado</v>
          </cell>
          <cell r="U39"/>
          <cell r="V39" t="str">
            <v>68-19-9,58-56-0,67-03-8,</v>
          </cell>
          <cell r="W39"/>
          <cell r="X39"/>
          <cell r="Y39"/>
          <cell r="Z39" t="str">
            <v>01984,07167,08511,</v>
          </cell>
          <cell r="AA39" t="str">
            <v>467 - ANTI-REUMÁTICOS NÃO ESTEROIDAIS ASSOCIADOS</v>
          </cell>
          <cell r="AB39" t="str">
            <v>N</v>
          </cell>
          <cell r="AC39" t="str">
            <v>N</v>
          </cell>
          <cell r="AD39"/>
          <cell r="AE39" t="str">
            <v>N</v>
          </cell>
          <cell r="AF39">
            <v>0</v>
          </cell>
          <cell r="AG39">
            <v>5.63</v>
          </cell>
          <cell r="AH39">
            <v>5.97</v>
          </cell>
          <cell r="AI39">
            <v>0</v>
          </cell>
          <cell r="AJ39">
            <v>6.04</v>
          </cell>
          <cell r="AK39">
            <v>6.12</v>
          </cell>
          <cell r="AL39">
            <v>0</v>
          </cell>
          <cell r="AM39">
            <v>5.97</v>
          </cell>
          <cell r="AN39">
            <v>0</v>
          </cell>
          <cell r="AO39">
            <v>7.78</v>
          </cell>
          <cell r="AP39">
            <v>8.25</v>
          </cell>
          <cell r="AQ39">
            <v>0</v>
          </cell>
          <cell r="AR39">
            <v>8.35</v>
          </cell>
          <cell r="AS39">
            <v>8.4600000000000009</v>
          </cell>
          <cell r="AT39">
            <v>0</v>
          </cell>
          <cell r="AU39">
            <v>8.25</v>
          </cell>
          <cell r="AV39">
            <v>0</v>
          </cell>
          <cell r="AW39">
            <v>5.7</v>
          </cell>
          <cell r="AX39">
            <v>6.05</v>
          </cell>
          <cell r="AY39">
            <v>6.08</v>
          </cell>
          <cell r="AZ39">
            <v>6.12</v>
          </cell>
          <cell r="BA39">
            <v>6.2</v>
          </cell>
          <cell r="BB39">
            <v>6.2</v>
          </cell>
          <cell r="BC39">
            <v>6.05</v>
          </cell>
          <cell r="BD39">
            <v>0</v>
          </cell>
          <cell r="BE39">
            <v>7.88</v>
          </cell>
          <cell r="BF39">
            <v>8.36</v>
          </cell>
          <cell r="BG39">
            <v>8.41</v>
          </cell>
          <cell r="BH39">
            <v>8.4600000000000009</v>
          </cell>
          <cell r="BI39">
            <v>8.57</v>
          </cell>
          <cell r="BJ39">
            <v>8.68</v>
          </cell>
          <cell r="BK39">
            <v>8.36</v>
          </cell>
        </row>
        <row r="40">
          <cell r="A40">
            <v>7891721000423</v>
          </cell>
          <cell r="B40">
            <v>1008901840018</v>
          </cell>
          <cell r="C40">
            <v>525400501111417</v>
          </cell>
          <cell r="D40" t="str">
            <v>ARTREN</v>
          </cell>
          <cell r="E40" t="str">
            <v>100 MG CAP GEL MICROG EST CART BL AL PLAS INC X 10</v>
          </cell>
          <cell r="F40" t="str">
            <v>Cápsula dura</v>
          </cell>
          <cell r="G40"/>
          <cell r="H40"/>
          <cell r="I40">
            <v>10</v>
          </cell>
          <cell r="J40"/>
          <cell r="K40" t="str">
            <v>Conformidade</v>
          </cell>
          <cell r="L40">
            <v>1</v>
          </cell>
          <cell r="M40" t="str">
            <v>Tarja Vermelha</v>
          </cell>
          <cell r="N40" t="str">
            <v>Não</v>
          </cell>
          <cell r="O40" t="str">
            <v>Não</v>
          </cell>
          <cell r="P40" t="str">
            <v>Não</v>
          </cell>
          <cell r="Q40" t="str">
            <v>I</v>
          </cell>
          <cell r="R40"/>
          <cell r="S40" t="str">
            <v>Similar</v>
          </cell>
          <cell r="T40" t="str">
            <v>Monitorado</v>
          </cell>
          <cell r="U40"/>
          <cell r="V40" t="str">
            <v>15307-86-5</v>
          </cell>
          <cell r="W40"/>
          <cell r="X40"/>
          <cell r="Y40" t="str">
            <v>MG</v>
          </cell>
          <cell r="Z40">
            <v>2926</v>
          </cell>
          <cell r="AA40" t="str">
            <v>466 - ANTI-REUMÁTICOS NÃO ESTEROIDAIS PUROS</v>
          </cell>
          <cell r="AB40" t="str">
            <v>N</v>
          </cell>
          <cell r="AC40" t="str">
            <v>N</v>
          </cell>
          <cell r="AD40">
            <v>0</v>
          </cell>
          <cell r="AE40" t="str">
            <v>N</v>
          </cell>
          <cell r="AF40">
            <v>0</v>
          </cell>
          <cell r="AG40">
            <v>15.97</v>
          </cell>
          <cell r="AH40">
            <v>16.93</v>
          </cell>
          <cell r="AI40">
            <v>0</v>
          </cell>
          <cell r="AJ40">
            <v>17.13</v>
          </cell>
          <cell r="AK40">
            <v>17.350000000000001</v>
          </cell>
          <cell r="AL40">
            <v>0</v>
          </cell>
          <cell r="AM40">
            <v>16.93</v>
          </cell>
          <cell r="AN40">
            <v>0</v>
          </cell>
          <cell r="AO40">
            <v>22.08</v>
          </cell>
          <cell r="AP40">
            <v>23.4</v>
          </cell>
          <cell r="AQ40">
            <v>0</v>
          </cell>
          <cell r="AR40">
            <v>23.69</v>
          </cell>
          <cell r="AS40">
            <v>23.99</v>
          </cell>
          <cell r="AT40">
            <v>0</v>
          </cell>
          <cell r="AU40">
            <v>23.4</v>
          </cell>
          <cell r="AV40">
            <v>0</v>
          </cell>
          <cell r="AW40">
            <v>16.72</v>
          </cell>
          <cell r="AX40">
            <v>17.73</v>
          </cell>
          <cell r="AY40">
            <v>17.84</v>
          </cell>
          <cell r="AZ40">
            <v>17.95</v>
          </cell>
          <cell r="BA40">
            <v>18.170000000000002</v>
          </cell>
          <cell r="BB40">
            <v>18.170000000000002</v>
          </cell>
          <cell r="BC40">
            <v>17.73</v>
          </cell>
          <cell r="BD40">
            <v>0</v>
          </cell>
          <cell r="BE40">
            <v>23.11</v>
          </cell>
          <cell r="BF40">
            <v>24.51</v>
          </cell>
          <cell r="BG40">
            <v>24.66</v>
          </cell>
          <cell r="BH40">
            <v>24.81</v>
          </cell>
          <cell r="BI40">
            <v>25.12</v>
          </cell>
          <cell r="BJ40">
            <v>25.42</v>
          </cell>
          <cell r="BK40">
            <v>24.51</v>
          </cell>
        </row>
        <row r="41">
          <cell r="A41"/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</row>
        <row r="42">
          <cell r="A42">
            <v>7891721000300</v>
          </cell>
          <cell r="B42">
            <v>1008901680029</v>
          </cell>
          <cell r="C42">
            <v>525400601149416</v>
          </cell>
          <cell r="D42" t="str">
            <v>ASALIT</v>
          </cell>
          <cell r="E42" t="str">
            <v>250 MG SUP RET EST STR X 10</v>
          </cell>
          <cell r="F42" t="str">
            <v>Supositório</v>
          </cell>
          <cell r="G42"/>
          <cell r="H42"/>
          <cell r="I42">
            <v>10</v>
          </cell>
          <cell r="J42"/>
          <cell r="K42" t="str">
            <v>Conformidade</v>
          </cell>
          <cell r="L42">
            <v>3</v>
          </cell>
          <cell r="M42" t="str">
            <v>Tarja Vermelha</v>
          </cell>
          <cell r="N42" t="str">
            <v>Não</v>
          </cell>
          <cell r="O42" t="str">
            <v>Sim</v>
          </cell>
          <cell r="P42" t="str">
            <v>Sim</v>
          </cell>
          <cell r="Q42" t="str">
            <v>I</v>
          </cell>
          <cell r="R42"/>
          <cell r="S42" t="str">
            <v>Similar</v>
          </cell>
          <cell r="T42" t="str">
            <v>Monitorado</v>
          </cell>
          <cell r="U42"/>
          <cell r="V42" t="str">
            <v>89-57-6</v>
          </cell>
          <cell r="W42"/>
          <cell r="X42"/>
          <cell r="Y42" t="str">
            <v>MG</v>
          </cell>
          <cell r="Z42">
            <v>5692</v>
          </cell>
          <cell r="AA42" t="str">
            <v>40 - AGENTES ANTIINFLAMATÓRIOS INTESTINAIS</v>
          </cell>
          <cell r="AB42" t="str">
            <v>N</v>
          </cell>
          <cell r="AC42" t="str">
            <v>N</v>
          </cell>
          <cell r="AD42">
            <v>0</v>
          </cell>
          <cell r="AE42" t="str">
            <v>N</v>
          </cell>
          <cell r="AF42">
            <v>0</v>
          </cell>
          <cell r="AG42">
            <v>27.38</v>
          </cell>
          <cell r="AH42">
            <v>29.03</v>
          </cell>
          <cell r="AI42">
            <v>0</v>
          </cell>
          <cell r="AJ42">
            <v>29.39</v>
          </cell>
          <cell r="AK42">
            <v>29.75</v>
          </cell>
          <cell r="AL42">
            <v>0</v>
          </cell>
          <cell r="AM42">
            <v>29.03</v>
          </cell>
          <cell r="AN42">
            <v>0</v>
          </cell>
          <cell r="AO42">
            <v>37.85</v>
          </cell>
          <cell r="AP42">
            <v>40.130000000000003</v>
          </cell>
          <cell r="AQ42">
            <v>0</v>
          </cell>
          <cell r="AR42">
            <v>40.619999999999997</v>
          </cell>
          <cell r="AS42">
            <v>41.13</v>
          </cell>
          <cell r="AT42">
            <v>0</v>
          </cell>
          <cell r="AU42">
            <v>40.130000000000003</v>
          </cell>
          <cell r="AV42">
            <v>0</v>
          </cell>
          <cell r="AW42">
            <v>27.76</v>
          </cell>
          <cell r="AX42">
            <v>29.43</v>
          </cell>
          <cell r="AY42">
            <v>29.61</v>
          </cell>
          <cell r="AZ42">
            <v>29.79</v>
          </cell>
          <cell r="BA42">
            <v>30.16</v>
          </cell>
          <cell r="BB42">
            <v>30.16</v>
          </cell>
          <cell r="BC42">
            <v>29.43</v>
          </cell>
          <cell r="BD42">
            <v>0</v>
          </cell>
          <cell r="BE42">
            <v>38.380000000000003</v>
          </cell>
          <cell r="BF42">
            <v>40.69</v>
          </cell>
          <cell r="BG42">
            <v>40.93</v>
          </cell>
          <cell r="BH42">
            <v>41.18</v>
          </cell>
          <cell r="BI42">
            <v>41.69</v>
          </cell>
          <cell r="BJ42">
            <v>42.21</v>
          </cell>
          <cell r="BK42">
            <v>40.69</v>
          </cell>
        </row>
        <row r="43">
          <cell r="A43"/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/>
          <cell r="BK43"/>
        </row>
        <row r="44">
          <cell r="A44"/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/>
          <cell r="BK44"/>
        </row>
        <row r="45">
          <cell r="A45">
            <v>7891721000225</v>
          </cell>
          <cell r="B45">
            <v>1008901680053</v>
          </cell>
          <cell r="C45">
            <v>525400602171415</v>
          </cell>
          <cell r="D45" t="str">
            <v>ASALIT</v>
          </cell>
          <cell r="E45" t="str">
            <v>3 G ENEMA EST CART ENV + DIL X 100 ML</v>
          </cell>
          <cell r="F45" t="str">
            <v>Enema</v>
          </cell>
          <cell r="G45">
            <v>1</v>
          </cell>
          <cell r="H45"/>
          <cell r="I45">
            <v>100</v>
          </cell>
          <cell r="J45" t="str">
            <v>ML</v>
          </cell>
          <cell r="K45" t="str">
            <v>Conformidade</v>
          </cell>
          <cell r="L45">
            <v>3</v>
          </cell>
          <cell r="M45" t="str">
            <v>Tarja Vermelha</v>
          </cell>
          <cell r="N45" t="str">
            <v>Não</v>
          </cell>
          <cell r="O45" t="str">
            <v>Sim</v>
          </cell>
          <cell r="P45" t="str">
            <v>Sim</v>
          </cell>
          <cell r="Q45" t="str">
            <v>I</v>
          </cell>
          <cell r="R45"/>
          <cell r="S45" t="str">
            <v>Similar</v>
          </cell>
          <cell r="T45" t="str">
            <v>Monitorado</v>
          </cell>
          <cell r="U45"/>
          <cell r="V45" t="str">
            <v>89-57-6</v>
          </cell>
          <cell r="W45"/>
          <cell r="X45"/>
          <cell r="Y45" t="str">
            <v>G</v>
          </cell>
          <cell r="Z45">
            <v>5692</v>
          </cell>
          <cell r="AA45" t="str">
            <v>40 - AGENTES ANTIINFLAMATÓRIOS INTESTINAIS</v>
          </cell>
          <cell r="AB45" t="str">
            <v>N</v>
          </cell>
          <cell r="AC45" t="str">
            <v>N</v>
          </cell>
          <cell r="AD45">
            <v>0</v>
          </cell>
          <cell r="AE45" t="str">
            <v>N</v>
          </cell>
          <cell r="AF45">
            <v>0</v>
          </cell>
          <cell r="AG45">
            <v>36.979999999999997</v>
          </cell>
          <cell r="AH45">
            <v>39.21</v>
          </cell>
          <cell r="AI45">
            <v>0</v>
          </cell>
          <cell r="AJ45">
            <v>39.69</v>
          </cell>
          <cell r="AK45">
            <v>40.18</v>
          </cell>
          <cell r="AL45">
            <v>0</v>
          </cell>
          <cell r="AM45">
            <v>39.21</v>
          </cell>
          <cell r="AN45">
            <v>0</v>
          </cell>
          <cell r="AO45">
            <v>51.12</v>
          </cell>
          <cell r="AP45">
            <v>54.21</v>
          </cell>
          <cell r="AQ45">
            <v>0</v>
          </cell>
          <cell r="AR45">
            <v>54.87</v>
          </cell>
          <cell r="AS45">
            <v>55.55</v>
          </cell>
          <cell r="AT45">
            <v>0</v>
          </cell>
          <cell r="AU45">
            <v>54.21</v>
          </cell>
          <cell r="AV45">
            <v>0</v>
          </cell>
          <cell r="AW45">
            <v>37.49</v>
          </cell>
          <cell r="AX45">
            <v>39.74</v>
          </cell>
          <cell r="AY45">
            <v>39.99</v>
          </cell>
          <cell r="AZ45">
            <v>40.229999999999997</v>
          </cell>
          <cell r="BA45">
            <v>40.729999999999997</v>
          </cell>
          <cell r="BB45">
            <v>40.729999999999997</v>
          </cell>
          <cell r="BC45">
            <v>39.74</v>
          </cell>
          <cell r="BD45">
            <v>0</v>
          </cell>
          <cell r="BE45">
            <v>51.83</v>
          </cell>
          <cell r="BF45">
            <v>54.94</v>
          </cell>
          <cell r="BG45">
            <v>55.28</v>
          </cell>
          <cell r="BH45">
            <v>55.61</v>
          </cell>
          <cell r="BI45">
            <v>56.31</v>
          </cell>
          <cell r="BJ45">
            <v>57</v>
          </cell>
          <cell r="BK45">
            <v>54.94</v>
          </cell>
        </row>
        <row r="46">
          <cell r="A46"/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</row>
        <row r="47">
          <cell r="A47">
            <v>7891721000355</v>
          </cell>
          <cell r="B47">
            <v>1008901680096</v>
          </cell>
          <cell r="C47">
            <v>525400603117414</v>
          </cell>
          <cell r="D47" t="str">
            <v>ASALIT</v>
          </cell>
          <cell r="E47" t="str">
            <v>400 MG COM REV EST CART 2 BL AL PLAS INC X 10</v>
          </cell>
          <cell r="F47" t="str">
            <v>Comprimido revestido</v>
          </cell>
          <cell r="G47"/>
          <cell r="H47"/>
          <cell r="I47">
            <v>20</v>
          </cell>
          <cell r="J47"/>
          <cell r="K47" t="str">
            <v>Conformidade</v>
          </cell>
          <cell r="L47">
            <v>3</v>
          </cell>
          <cell r="M47" t="str">
            <v>Tarja Vermelha</v>
          </cell>
          <cell r="N47" t="str">
            <v>Não</v>
          </cell>
          <cell r="O47" t="str">
            <v>Sim</v>
          </cell>
          <cell r="P47" t="str">
            <v>Sim</v>
          </cell>
          <cell r="Q47" t="str">
            <v>I</v>
          </cell>
          <cell r="R47"/>
          <cell r="S47" t="str">
            <v>Similar</v>
          </cell>
          <cell r="T47" t="str">
            <v>Monitorado</v>
          </cell>
          <cell r="U47"/>
          <cell r="V47" t="str">
            <v>89-57-6</v>
          </cell>
          <cell r="W47"/>
          <cell r="X47"/>
          <cell r="Y47" t="str">
            <v>MG</v>
          </cell>
          <cell r="Z47">
            <v>5692</v>
          </cell>
          <cell r="AA47" t="str">
            <v>40 - AGENTES ANTIINFLAMATÓRIOS INTESTINAIS</v>
          </cell>
          <cell r="AB47" t="str">
            <v>N</v>
          </cell>
          <cell r="AC47" t="str">
            <v>N</v>
          </cell>
          <cell r="AD47">
            <v>0</v>
          </cell>
          <cell r="AE47" t="str">
            <v>N</v>
          </cell>
          <cell r="AF47">
            <v>0</v>
          </cell>
          <cell r="AG47">
            <v>57.95</v>
          </cell>
          <cell r="AH47">
            <v>61.44</v>
          </cell>
          <cell r="AI47">
            <v>0</v>
          </cell>
          <cell r="AJ47">
            <v>62.19</v>
          </cell>
          <cell r="AK47">
            <v>62.96</v>
          </cell>
          <cell r="AL47">
            <v>0</v>
          </cell>
          <cell r="AM47">
            <v>61.44</v>
          </cell>
          <cell r="AN47">
            <v>0</v>
          </cell>
          <cell r="AO47">
            <v>80.11</v>
          </cell>
          <cell r="AP47">
            <v>84.94</v>
          </cell>
          <cell r="AQ47">
            <v>0</v>
          </cell>
          <cell r="AR47">
            <v>85.97</v>
          </cell>
          <cell r="AS47">
            <v>87.04</v>
          </cell>
          <cell r="AT47">
            <v>0</v>
          </cell>
          <cell r="AU47">
            <v>84.94</v>
          </cell>
          <cell r="AV47">
            <v>0</v>
          </cell>
          <cell r="AW47">
            <v>57.95</v>
          </cell>
          <cell r="AX47">
            <v>61.44</v>
          </cell>
          <cell r="AY47">
            <v>61.81</v>
          </cell>
          <cell r="AZ47">
            <v>62.19</v>
          </cell>
          <cell r="BA47">
            <v>62.96</v>
          </cell>
          <cell r="BB47">
            <v>62.96</v>
          </cell>
          <cell r="BC47">
            <v>61.44</v>
          </cell>
          <cell r="BD47">
            <v>0</v>
          </cell>
          <cell r="BE47">
            <v>80.11</v>
          </cell>
          <cell r="BF47">
            <v>84.94</v>
          </cell>
          <cell r="BG47">
            <v>85.45</v>
          </cell>
          <cell r="BH47">
            <v>85.97</v>
          </cell>
          <cell r="BI47">
            <v>87.04</v>
          </cell>
          <cell r="BJ47">
            <v>88.12</v>
          </cell>
          <cell r="BK47">
            <v>84.94</v>
          </cell>
        </row>
        <row r="48">
          <cell r="A48">
            <v>7891721276019</v>
          </cell>
          <cell r="B48">
            <v>1008903570034</v>
          </cell>
          <cell r="C48">
            <v>525420903116116</v>
          </cell>
          <cell r="D48" t="str">
            <v>AZITROMICINA DIIDRATADA</v>
          </cell>
          <cell r="E48" t="str">
            <v>500 MG COM REV CT CART BL PLAS INC X 2</v>
          </cell>
          <cell r="F48" t="str">
            <v>Comprimido revestido</v>
          </cell>
          <cell r="G48"/>
          <cell r="H48"/>
          <cell r="I48">
            <v>2</v>
          </cell>
          <cell r="J48"/>
          <cell r="K48" t="str">
            <v>Conformidade</v>
          </cell>
          <cell r="L48">
            <v>1</v>
          </cell>
          <cell r="M48" t="str">
            <v>Tarja Vermelha</v>
          </cell>
          <cell r="N48" t="str">
            <v>Não</v>
          </cell>
          <cell r="O48" t="str">
            <v>Não</v>
          </cell>
          <cell r="P48" t="str">
            <v>Não</v>
          </cell>
          <cell r="Q48" t="str">
            <v>I</v>
          </cell>
          <cell r="R48"/>
          <cell r="S48" t="str">
            <v>Genérico</v>
          </cell>
          <cell r="T48" t="str">
            <v>Monitorado</v>
          </cell>
          <cell r="U48"/>
          <cell r="V48" t="str">
            <v>117772-70-0</v>
          </cell>
          <cell r="W48"/>
          <cell r="X48"/>
          <cell r="Y48" t="str">
            <v>MG</v>
          </cell>
          <cell r="Z48">
            <v>998</v>
          </cell>
          <cell r="AA48" t="str">
            <v>314 - MACROLIDEOS E SIMILARES</v>
          </cell>
          <cell r="AB48" t="str">
            <v>N</v>
          </cell>
          <cell r="AC48" t="str">
            <v>N</v>
          </cell>
          <cell r="AD48">
            <v>0</v>
          </cell>
          <cell r="AE48" t="str">
            <v>N</v>
          </cell>
          <cell r="AF48">
            <v>0</v>
          </cell>
          <cell r="AG48">
            <v>15.05</v>
          </cell>
          <cell r="AH48">
            <v>15.96</v>
          </cell>
          <cell r="AI48">
            <v>0</v>
          </cell>
          <cell r="AJ48">
            <v>16.16</v>
          </cell>
          <cell r="AK48">
            <v>16.350000000000001</v>
          </cell>
          <cell r="AL48">
            <v>0</v>
          </cell>
          <cell r="AM48">
            <v>15.96</v>
          </cell>
          <cell r="AN48">
            <v>0</v>
          </cell>
          <cell r="AO48">
            <v>20.81</v>
          </cell>
          <cell r="AP48">
            <v>22.06</v>
          </cell>
          <cell r="AQ48">
            <v>0</v>
          </cell>
          <cell r="AR48">
            <v>22.33</v>
          </cell>
          <cell r="AS48">
            <v>22.6</v>
          </cell>
          <cell r="AT48">
            <v>0</v>
          </cell>
          <cell r="AU48">
            <v>22.06</v>
          </cell>
          <cell r="AV48">
            <v>0</v>
          </cell>
          <cell r="AW48">
            <v>15.77</v>
          </cell>
          <cell r="AX48">
            <v>16.73</v>
          </cell>
          <cell r="AY48">
            <v>16.829999999999998</v>
          </cell>
          <cell r="AZ48">
            <v>16.93</v>
          </cell>
          <cell r="BA48">
            <v>17.14</v>
          </cell>
          <cell r="BB48">
            <v>17.14</v>
          </cell>
          <cell r="BC48">
            <v>16.73</v>
          </cell>
          <cell r="BD48">
            <v>0</v>
          </cell>
          <cell r="BE48">
            <v>21.8</v>
          </cell>
          <cell r="BF48">
            <v>23.13</v>
          </cell>
          <cell r="BG48">
            <v>23.27</v>
          </cell>
          <cell r="BH48">
            <v>23.4</v>
          </cell>
          <cell r="BI48">
            <v>23.7</v>
          </cell>
          <cell r="BJ48">
            <v>23.99</v>
          </cell>
          <cell r="BK48">
            <v>23.13</v>
          </cell>
        </row>
        <row r="49">
          <cell r="A49"/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/>
          <cell r="BG49"/>
          <cell r="BH49"/>
          <cell r="BI49"/>
          <cell r="BJ49"/>
          <cell r="BK49"/>
        </row>
        <row r="50">
          <cell r="A50">
            <v>7891721276026</v>
          </cell>
          <cell r="B50">
            <v>1008903570026</v>
          </cell>
          <cell r="C50">
            <v>525420902111110</v>
          </cell>
          <cell r="D50" t="str">
            <v>AZITROMICINA DIIDRATADA</v>
          </cell>
          <cell r="E50" t="str">
            <v>500 MG COM REV CT CART BL PLAS INC X 3</v>
          </cell>
          <cell r="F50" t="str">
            <v>Comprimido revestido</v>
          </cell>
          <cell r="G50"/>
          <cell r="H50"/>
          <cell r="I50">
            <v>3</v>
          </cell>
          <cell r="J50"/>
          <cell r="K50" t="str">
            <v>Conformidade</v>
          </cell>
          <cell r="L50">
            <v>1</v>
          </cell>
          <cell r="M50" t="str">
            <v>Tarja Vermelha</v>
          </cell>
          <cell r="N50" t="str">
            <v>Não</v>
          </cell>
          <cell r="O50" t="str">
            <v>Não</v>
          </cell>
          <cell r="P50" t="str">
            <v>Não</v>
          </cell>
          <cell r="Q50" t="str">
            <v>I</v>
          </cell>
          <cell r="R50"/>
          <cell r="S50" t="str">
            <v>Genérico</v>
          </cell>
          <cell r="T50" t="str">
            <v>Monitorado</v>
          </cell>
          <cell r="U50"/>
          <cell r="V50" t="str">
            <v>117772-70-0</v>
          </cell>
          <cell r="W50"/>
          <cell r="X50"/>
          <cell r="Y50" t="str">
            <v>MG</v>
          </cell>
          <cell r="Z50">
            <v>998</v>
          </cell>
          <cell r="AA50" t="str">
            <v>314 - MACROLIDEOS E SIMILARES</v>
          </cell>
          <cell r="AB50" t="str">
            <v>N</v>
          </cell>
          <cell r="AC50" t="str">
            <v>N</v>
          </cell>
          <cell r="AD50">
            <v>0</v>
          </cell>
          <cell r="AE50" t="str">
            <v>N</v>
          </cell>
          <cell r="AF50">
            <v>0</v>
          </cell>
          <cell r="AG50">
            <v>21.08</v>
          </cell>
          <cell r="AH50">
            <v>22.35</v>
          </cell>
          <cell r="AI50">
            <v>0</v>
          </cell>
          <cell r="AJ50">
            <v>22.62</v>
          </cell>
          <cell r="AK50">
            <v>22.9</v>
          </cell>
          <cell r="AL50">
            <v>0</v>
          </cell>
          <cell r="AM50">
            <v>22.35</v>
          </cell>
          <cell r="AN50">
            <v>0</v>
          </cell>
          <cell r="AO50">
            <v>29.14</v>
          </cell>
          <cell r="AP50">
            <v>30.9</v>
          </cell>
          <cell r="AQ50">
            <v>0</v>
          </cell>
          <cell r="AR50">
            <v>31.28</v>
          </cell>
          <cell r="AS50">
            <v>31.66</v>
          </cell>
          <cell r="AT50">
            <v>0</v>
          </cell>
          <cell r="AU50">
            <v>30.9</v>
          </cell>
          <cell r="AV50">
            <v>0</v>
          </cell>
          <cell r="AW50">
            <v>22.08</v>
          </cell>
          <cell r="AX50">
            <v>23.41</v>
          </cell>
          <cell r="AY50">
            <v>23.55</v>
          </cell>
          <cell r="AZ50">
            <v>23.7</v>
          </cell>
          <cell r="BA50">
            <v>23.99</v>
          </cell>
          <cell r="BB50">
            <v>23.99</v>
          </cell>
          <cell r="BC50">
            <v>23.41</v>
          </cell>
          <cell r="BD50">
            <v>0</v>
          </cell>
          <cell r="BE50">
            <v>30.52</v>
          </cell>
          <cell r="BF50">
            <v>32.36</v>
          </cell>
          <cell r="BG50">
            <v>32.56</v>
          </cell>
          <cell r="BH50">
            <v>32.76</v>
          </cell>
          <cell r="BI50">
            <v>33.159999999999997</v>
          </cell>
          <cell r="BJ50">
            <v>33.58</v>
          </cell>
          <cell r="BK50">
            <v>32.36</v>
          </cell>
        </row>
        <row r="51">
          <cell r="A51"/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/>
        </row>
        <row r="52">
          <cell r="A52">
            <v>7891721022777</v>
          </cell>
          <cell r="B52">
            <v>1008903570018</v>
          </cell>
          <cell r="C52">
            <v>525420901113111</v>
          </cell>
          <cell r="D52" t="str">
            <v>AZITROMICINA DIIDRATADA</v>
          </cell>
          <cell r="E52" t="str">
            <v>500 MG COM REV CT CART BL PLAS INC X 5 </v>
          </cell>
          <cell r="F52" t="str">
            <v>Comprimido revestido</v>
          </cell>
          <cell r="G52"/>
          <cell r="H52"/>
          <cell r="I52">
            <v>5</v>
          </cell>
          <cell r="J52"/>
          <cell r="K52" t="str">
            <v>Conformidade</v>
          </cell>
          <cell r="L52">
            <v>1</v>
          </cell>
          <cell r="M52" t="str">
            <v>Tarja Vermelha</v>
          </cell>
          <cell r="N52" t="str">
            <v>Não</v>
          </cell>
          <cell r="O52" t="str">
            <v>Não</v>
          </cell>
          <cell r="P52" t="str">
            <v>Não</v>
          </cell>
          <cell r="Q52" t="str">
            <v>I</v>
          </cell>
          <cell r="R52"/>
          <cell r="S52" t="str">
            <v>Genérico</v>
          </cell>
          <cell r="T52" t="str">
            <v>Monitorado</v>
          </cell>
          <cell r="U52"/>
          <cell r="V52" t="str">
            <v>117772-70-0</v>
          </cell>
          <cell r="W52"/>
          <cell r="X52"/>
          <cell r="Y52" t="str">
            <v>MG</v>
          </cell>
          <cell r="Z52">
            <v>998</v>
          </cell>
          <cell r="AA52" t="str">
            <v>314 - MACROLIDEOS E SIMILARES</v>
          </cell>
          <cell r="AB52" t="str">
            <v>N</v>
          </cell>
          <cell r="AC52" t="str">
            <v>N</v>
          </cell>
          <cell r="AD52">
            <v>0</v>
          </cell>
          <cell r="AE52" t="str">
            <v>N</v>
          </cell>
          <cell r="AF52">
            <v>0</v>
          </cell>
          <cell r="AG52">
            <v>31.22</v>
          </cell>
          <cell r="AH52">
            <v>33.1</v>
          </cell>
          <cell r="AI52">
            <v>0</v>
          </cell>
          <cell r="AJ52">
            <v>33.5</v>
          </cell>
          <cell r="AK52">
            <v>33.92</v>
          </cell>
          <cell r="AL52">
            <v>0</v>
          </cell>
          <cell r="AM52">
            <v>33.1</v>
          </cell>
          <cell r="AN52">
            <v>0</v>
          </cell>
          <cell r="AO52">
            <v>43.16</v>
          </cell>
          <cell r="AP52">
            <v>45.76</v>
          </cell>
          <cell r="AQ52">
            <v>0</v>
          </cell>
          <cell r="AR52">
            <v>46.32</v>
          </cell>
          <cell r="AS52">
            <v>46.89</v>
          </cell>
          <cell r="AT52">
            <v>0</v>
          </cell>
          <cell r="AU52">
            <v>45.76</v>
          </cell>
          <cell r="AV52">
            <v>0</v>
          </cell>
          <cell r="AW52">
            <v>32.700000000000003</v>
          </cell>
          <cell r="AX52">
            <v>34.67</v>
          </cell>
          <cell r="AY52">
            <v>34.880000000000003</v>
          </cell>
          <cell r="AZ52">
            <v>35.090000000000003</v>
          </cell>
          <cell r="BA52">
            <v>35.53</v>
          </cell>
          <cell r="BB52">
            <v>35.53</v>
          </cell>
          <cell r="BC52">
            <v>34.67</v>
          </cell>
          <cell r="BD52">
            <v>0</v>
          </cell>
          <cell r="BE52">
            <v>45.21</v>
          </cell>
          <cell r="BF52">
            <v>47.93</v>
          </cell>
          <cell r="BG52">
            <v>48.22</v>
          </cell>
          <cell r="BH52">
            <v>48.52</v>
          </cell>
          <cell r="BI52">
            <v>49.12</v>
          </cell>
          <cell r="BJ52">
            <v>49.73</v>
          </cell>
          <cell r="BK52">
            <v>47.93</v>
          </cell>
        </row>
        <row r="53">
          <cell r="A53"/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/>
        </row>
        <row r="54">
          <cell r="A54">
            <v>7891721277450</v>
          </cell>
          <cell r="B54">
            <v>1008902730070</v>
          </cell>
          <cell r="C54">
            <v>525401001110118</v>
          </cell>
          <cell r="D54" t="str">
            <v>BESILATO DE ANLODIPINO</v>
          </cell>
          <cell r="E54" t="str">
            <v>10 MG COM CT BL AL PLAS OPC X 30</v>
          </cell>
          <cell r="F54" t="str">
            <v>Comprimido</v>
          </cell>
          <cell r="G54"/>
          <cell r="H54"/>
          <cell r="I54">
            <v>30</v>
          </cell>
          <cell r="J54"/>
          <cell r="K54" t="str">
            <v>Conformidade</v>
          </cell>
          <cell r="L54">
            <v>1</v>
          </cell>
          <cell r="M54" t="str">
            <v>Tarja Vermelha</v>
          </cell>
          <cell r="N54" t="str">
            <v>Não</v>
          </cell>
          <cell r="O54" t="str">
            <v>Não</v>
          </cell>
          <cell r="P54" t="str">
            <v>Não</v>
          </cell>
          <cell r="Q54" t="str">
            <v>I</v>
          </cell>
          <cell r="R54"/>
          <cell r="S54" t="str">
            <v>Genérico</v>
          </cell>
          <cell r="T54" t="str">
            <v>Monitorado</v>
          </cell>
          <cell r="U54"/>
          <cell r="V54" t="str">
            <v>111470-99-6</v>
          </cell>
          <cell r="W54"/>
          <cell r="X54"/>
          <cell r="Y54" t="str">
            <v>MG</v>
          </cell>
          <cell r="Z54">
            <v>805</v>
          </cell>
          <cell r="AA54" t="str">
            <v>195 - ANTAGONISTAS DO CÁLCIO PUROS</v>
          </cell>
          <cell r="AB54" t="str">
            <v>N</v>
          </cell>
          <cell r="AC54" t="str">
            <v>N</v>
          </cell>
          <cell r="AD54">
            <v>0</v>
          </cell>
          <cell r="AE54" t="str">
            <v>N</v>
          </cell>
          <cell r="AF54">
            <v>0</v>
          </cell>
          <cell r="AG54">
            <v>30.97</v>
          </cell>
          <cell r="AH54">
            <v>32.840000000000003</v>
          </cell>
          <cell r="AI54">
            <v>0</v>
          </cell>
          <cell r="AJ54">
            <v>33.24</v>
          </cell>
          <cell r="AK54">
            <v>33.65</v>
          </cell>
          <cell r="AL54">
            <v>0</v>
          </cell>
          <cell r="AM54">
            <v>32.840000000000003</v>
          </cell>
          <cell r="AN54">
            <v>0</v>
          </cell>
          <cell r="AO54">
            <v>42.81</v>
          </cell>
          <cell r="AP54">
            <v>45.4</v>
          </cell>
          <cell r="AQ54">
            <v>0</v>
          </cell>
          <cell r="AR54">
            <v>45.95</v>
          </cell>
          <cell r="AS54">
            <v>46.52</v>
          </cell>
          <cell r="AT54">
            <v>0</v>
          </cell>
          <cell r="AU54">
            <v>45.4</v>
          </cell>
          <cell r="AV54">
            <v>0</v>
          </cell>
          <cell r="AW54">
            <v>32.450000000000003</v>
          </cell>
          <cell r="AX54">
            <v>34.4</v>
          </cell>
          <cell r="AY54">
            <v>34.61</v>
          </cell>
          <cell r="AZ54">
            <v>34.82</v>
          </cell>
          <cell r="BA54">
            <v>35.25</v>
          </cell>
          <cell r="BB54">
            <v>35.25</v>
          </cell>
          <cell r="BC54">
            <v>34.4</v>
          </cell>
          <cell r="BD54">
            <v>0</v>
          </cell>
          <cell r="BE54">
            <v>44.86</v>
          </cell>
          <cell r="BF54">
            <v>47.56</v>
          </cell>
          <cell r="BG54">
            <v>47.85</v>
          </cell>
          <cell r="BH54">
            <v>48.14</v>
          </cell>
          <cell r="BI54">
            <v>48.73</v>
          </cell>
          <cell r="BJ54">
            <v>49.34</v>
          </cell>
          <cell r="BK54">
            <v>47.56</v>
          </cell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/>
          <cell r="BG55"/>
          <cell r="BH55"/>
          <cell r="BI55"/>
          <cell r="BJ55"/>
          <cell r="BK55"/>
        </row>
        <row r="56">
          <cell r="A56">
            <v>7891721277436</v>
          </cell>
          <cell r="B56">
            <v>1008902730089</v>
          </cell>
          <cell r="C56">
            <v>525401003113114</v>
          </cell>
          <cell r="D56" t="str">
            <v>BESILATO DE ANLODIPINO</v>
          </cell>
          <cell r="E56" t="str">
            <v>5 MG COM CT BL AL PLAS OPC X 30</v>
          </cell>
          <cell r="F56" t="str">
            <v>Comprimido</v>
          </cell>
          <cell r="G56"/>
          <cell r="H56"/>
          <cell r="I56">
            <v>30</v>
          </cell>
          <cell r="J56"/>
          <cell r="K56" t="str">
            <v>Conformidade</v>
          </cell>
          <cell r="L56">
            <v>1</v>
          </cell>
          <cell r="M56" t="str">
            <v>Tarja Vermelha</v>
          </cell>
          <cell r="N56" t="str">
            <v>Não</v>
          </cell>
          <cell r="O56" t="str">
            <v>Não</v>
          </cell>
          <cell r="P56" t="str">
            <v>Não</v>
          </cell>
          <cell r="Q56" t="str">
            <v>I</v>
          </cell>
          <cell r="R56"/>
          <cell r="S56" t="str">
            <v>Genérico</v>
          </cell>
          <cell r="T56" t="str">
            <v>Monitorado</v>
          </cell>
          <cell r="U56"/>
          <cell r="V56" t="str">
            <v>111470-99-6</v>
          </cell>
          <cell r="W56"/>
          <cell r="X56"/>
          <cell r="Y56" t="str">
            <v>MG</v>
          </cell>
          <cell r="Z56">
            <v>805</v>
          </cell>
          <cell r="AA56" t="str">
            <v>195 - ANTAGONISTAS DO CÁLCIO PUROS</v>
          </cell>
          <cell r="AB56" t="str">
            <v>N</v>
          </cell>
          <cell r="AC56" t="str">
            <v>N</v>
          </cell>
          <cell r="AD56">
            <v>0</v>
          </cell>
          <cell r="AE56" t="str">
            <v>N</v>
          </cell>
          <cell r="AF56">
            <v>0</v>
          </cell>
          <cell r="AG56">
            <v>19.41</v>
          </cell>
          <cell r="AH56">
            <v>20.58</v>
          </cell>
          <cell r="AI56">
            <v>0</v>
          </cell>
          <cell r="AJ56">
            <v>20.83</v>
          </cell>
          <cell r="AK56">
            <v>21.09</v>
          </cell>
          <cell r="AL56">
            <v>0</v>
          </cell>
          <cell r="AM56">
            <v>20.58</v>
          </cell>
          <cell r="AN56">
            <v>0</v>
          </cell>
          <cell r="AO56">
            <v>26.83</v>
          </cell>
          <cell r="AP56">
            <v>28.45</v>
          </cell>
          <cell r="AQ56">
            <v>0</v>
          </cell>
          <cell r="AR56">
            <v>28.8</v>
          </cell>
          <cell r="AS56">
            <v>29.16</v>
          </cell>
          <cell r="AT56">
            <v>0</v>
          </cell>
          <cell r="AU56">
            <v>28.45</v>
          </cell>
          <cell r="AV56">
            <v>0</v>
          </cell>
          <cell r="AW56">
            <v>20.329999999999998</v>
          </cell>
          <cell r="AX56">
            <v>21.56</v>
          </cell>
          <cell r="AY56">
            <v>21.69</v>
          </cell>
          <cell r="AZ56">
            <v>21.82</v>
          </cell>
          <cell r="BA56">
            <v>22.09</v>
          </cell>
          <cell r="BB56">
            <v>22.09</v>
          </cell>
          <cell r="BC56">
            <v>21.56</v>
          </cell>
          <cell r="BD56">
            <v>0</v>
          </cell>
          <cell r="BE56">
            <v>28.11</v>
          </cell>
          <cell r="BF56">
            <v>29.81</v>
          </cell>
          <cell r="BG56">
            <v>29.99</v>
          </cell>
          <cell r="BH56">
            <v>30.17</v>
          </cell>
          <cell r="BI56">
            <v>30.54</v>
          </cell>
          <cell r="BJ56">
            <v>30.93</v>
          </cell>
          <cell r="BK56">
            <v>29.81</v>
          </cell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</row>
        <row r="58">
          <cell r="A58">
            <v>7891721277429</v>
          </cell>
          <cell r="B58">
            <v>1008902730038</v>
          </cell>
          <cell r="C58">
            <v>525401004111115</v>
          </cell>
          <cell r="D58" t="str">
            <v>BESILATO DE ANLODIPINO</v>
          </cell>
          <cell r="E58" t="str">
            <v>5 MG COM CT BL AL PLAS OPC X 60</v>
          </cell>
          <cell r="F58" t="str">
            <v>Comprimido</v>
          </cell>
          <cell r="G58"/>
          <cell r="H58"/>
          <cell r="I58">
            <v>60</v>
          </cell>
          <cell r="J58"/>
          <cell r="K58" t="str">
            <v>Conformidade</v>
          </cell>
          <cell r="L58">
            <v>1</v>
          </cell>
          <cell r="M58" t="str">
            <v>Tarja Vermelha</v>
          </cell>
          <cell r="N58" t="str">
            <v>Não</v>
          </cell>
          <cell r="O58" t="str">
            <v>Não</v>
          </cell>
          <cell r="P58" t="str">
            <v>Não</v>
          </cell>
          <cell r="Q58" t="str">
            <v>I</v>
          </cell>
          <cell r="R58"/>
          <cell r="S58" t="str">
            <v>Genérico</v>
          </cell>
          <cell r="T58" t="str">
            <v>Monitorado</v>
          </cell>
          <cell r="U58"/>
          <cell r="V58" t="str">
            <v>111470-99-6</v>
          </cell>
          <cell r="W58"/>
          <cell r="X58"/>
          <cell r="Y58" t="str">
            <v>MG</v>
          </cell>
          <cell r="Z58">
            <v>805</v>
          </cell>
          <cell r="AA58" t="str">
            <v>195 - ANTAGONISTAS DO CÁLCIO PUROS</v>
          </cell>
          <cell r="AB58" t="str">
            <v>N</v>
          </cell>
          <cell r="AC58" t="str">
            <v>N</v>
          </cell>
          <cell r="AD58">
            <v>0</v>
          </cell>
          <cell r="AE58" t="str">
            <v>N</v>
          </cell>
          <cell r="AF58">
            <v>0</v>
          </cell>
          <cell r="AG58">
            <v>38.82</v>
          </cell>
          <cell r="AH58">
            <v>41.16</v>
          </cell>
          <cell r="AI58">
            <v>0</v>
          </cell>
          <cell r="AJ58">
            <v>41.66</v>
          </cell>
          <cell r="AK58">
            <v>42.17</v>
          </cell>
          <cell r="AL58">
            <v>0</v>
          </cell>
          <cell r="AM58">
            <v>41.16</v>
          </cell>
          <cell r="AN58">
            <v>0</v>
          </cell>
          <cell r="AO58">
            <v>53.67</v>
          </cell>
          <cell r="AP58">
            <v>56.9</v>
          </cell>
          <cell r="AQ58">
            <v>0</v>
          </cell>
          <cell r="AR58">
            <v>57.59</v>
          </cell>
          <cell r="AS58">
            <v>58.3</v>
          </cell>
          <cell r="AT58">
            <v>0</v>
          </cell>
          <cell r="AU58">
            <v>56.9</v>
          </cell>
          <cell r="AV58">
            <v>0</v>
          </cell>
          <cell r="AW58">
            <v>40.67</v>
          </cell>
          <cell r="AX58">
            <v>43.12</v>
          </cell>
          <cell r="AY58">
            <v>43.38</v>
          </cell>
          <cell r="AZ58">
            <v>43.64</v>
          </cell>
          <cell r="BA58">
            <v>44.18</v>
          </cell>
          <cell r="BB58">
            <v>44.18</v>
          </cell>
          <cell r="BC58">
            <v>43.12</v>
          </cell>
          <cell r="BD58">
            <v>0</v>
          </cell>
          <cell r="BE58">
            <v>56.22</v>
          </cell>
          <cell r="BF58">
            <v>59.61</v>
          </cell>
          <cell r="BG58">
            <v>59.97</v>
          </cell>
          <cell r="BH58">
            <v>60.33</v>
          </cell>
          <cell r="BI58">
            <v>61.08</v>
          </cell>
          <cell r="BJ58">
            <v>61.84</v>
          </cell>
          <cell r="BK58">
            <v>59.61</v>
          </cell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/>
          <cell r="BG59"/>
          <cell r="BH59"/>
          <cell r="BI59"/>
          <cell r="BJ59"/>
          <cell r="BK59"/>
        </row>
        <row r="60">
          <cell r="A60">
            <v>7891721002052</v>
          </cell>
          <cell r="B60">
            <v>1008902010094</v>
          </cell>
          <cell r="C60">
            <v>525401101115413</v>
          </cell>
          <cell r="D60" t="str">
            <v>BICONCOR</v>
          </cell>
          <cell r="E60" t="str">
            <v>10 MG / 6,25 MG COM REV CT FR PLAS OPC X 30</v>
          </cell>
          <cell r="F60" t="str">
            <v>Comprimido revestido</v>
          </cell>
          <cell r="G60"/>
          <cell r="H60"/>
          <cell r="I60">
            <v>30</v>
          </cell>
          <cell r="J60"/>
          <cell r="K60" t="str">
            <v>Conformidade</v>
          </cell>
          <cell r="L60">
            <v>3</v>
          </cell>
          <cell r="M60" t="str">
            <v>Tarja Vermelha</v>
          </cell>
          <cell r="N60" t="str">
            <v>Não</v>
          </cell>
          <cell r="O60" t="str">
            <v>Não</v>
          </cell>
          <cell r="P60" t="str">
            <v>Não</v>
          </cell>
          <cell r="Q60" t="str">
            <v>II</v>
          </cell>
          <cell r="R60"/>
          <cell r="S60" t="str">
            <v>Genérico</v>
          </cell>
          <cell r="T60" t="str">
            <v>Monitorado</v>
          </cell>
          <cell r="U60"/>
          <cell r="V60" t="str">
            <v>104344-23-2,58-93-5</v>
          </cell>
          <cell r="W60"/>
          <cell r="X60"/>
          <cell r="Y60" t="str">
            <v>MG</v>
          </cell>
          <cell r="Z60">
            <v>1300.0465200000001</v>
          </cell>
          <cell r="AA60" t="str">
            <v>192 - BETABLOQUEADORES ASSOCIADOS COM ANTIHIPERTENSIVOS E/OU DIURÉTICOS</v>
          </cell>
          <cell r="AB60" t="str">
            <v>N</v>
          </cell>
          <cell r="AC60" t="str">
            <v>N</v>
          </cell>
          <cell r="AD60">
            <v>0</v>
          </cell>
          <cell r="AE60" t="str">
            <v>N</v>
          </cell>
          <cell r="AF60">
            <v>0</v>
          </cell>
          <cell r="AG60">
            <v>66.58</v>
          </cell>
          <cell r="AH60">
            <v>70.59</v>
          </cell>
          <cell r="AI60">
            <v>0</v>
          </cell>
          <cell r="AJ60">
            <v>71.45</v>
          </cell>
          <cell r="AK60">
            <v>72.33</v>
          </cell>
          <cell r="AL60">
            <v>0</v>
          </cell>
          <cell r="AM60">
            <v>70.59</v>
          </cell>
          <cell r="AN60">
            <v>0</v>
          </cell>
          <cell r="AO60">
            <v>92.03</v>
          </cell>
          <cell r="AP60">
            <v>97.58</v>
          </cell>
          <cell r="AQ60">
            <v>0</v>
          </cell>
          <cell r="AR60">
            <v>98.77</v>
          </cell>
          <cell r="AS60">
            <v>99.98</v>
          </cell>
          <cell r="AT60">
            <v>0</v>
          </cell>
          <cell r="AU60">
            <v>97.58</v>
          </cell>
          <cell r="AV60">
            <v>0</v>
          </cell>
          <cell r="AW60">
            <v>67.48</v>
          </cell>
          <cell r="AX60">
            <v>71.55</v>
          </cell>
          <cell r="AY60">
            <v>71.98</v>
          </cell>
          <cell r="AZ60">
            <v>72.42</v>
          </cell>
          <cell r="BA60">
            <v>73.319999999999993</v>
          </cell>
          <cell r="BB60">
            <v>73.319999999999993</v>
          </cell>
          <cell r="BC60">
            <v>71.55</v>
          </cell>
          <cell r="BD60">
            <v>0</v>
          </cell>
          <cell r="BE60">
            <v>93.29</v>
          </cell>
          <cell r="BF60">
            <v>98.91</v>
          </cell>
          <cell r="BG60">
            <v>99.51</v>
          </cell>
          <cell r="BH60">
            <v>100.12</v>
          </cell>
          <cell r="BI60">
            <v>101.36</v>
          </cell>
          <cell r="BJ60">
            <v>102.62</v>
          </cell>
          <cell r="BK60">
            <v>98.91</v>
          </cell>
        </row>
        <row r="61">
          <cell r="A61">
            <v>7891721002038</v>
          </cell>
          <cell r="B61">
            <v>1008902010078</v>
          </cell>
          <cell r="C61">
            <v>525401102111411</v>
          </cell>
          <cell r="D61" t="str">
            <v>BICONCOR</v>
          </cell>
          <cell r="E61" t="str">
            <v>2,5 MG / 6,25 MG COM REV CT FR PLAS OPC X 30</v>
          </cell>
          <cell r="F61" t="str">
            <v>Comprimido revestido</v>
          </cell>
          <cell r="G61"/>
          <cell r="H61"/>
          <cell r="I61">
            <v>30</v>
          </cell>
          <cell r="J61"/>
          <cell r="K61" t="str">
            <v>Conformidade</v>
          </cell>
          <cell r="L61">
            <v>3</v>
          </cell>
          <cell r="M61" t="str">
            <v>Tarja Vermelha</v>
          </cell>
          <cell r="N61" t="str">
            <v>Não</v>
          </cell>
          <cell r="O61" t="str">
            <v>Não</v>
          </cell>
          <cell r="P61" t="str">
            <v>Não</v>
          </cell>
          <cell r="Q61" t="str">
            <v>II</v>
          </cell>
          <cell r="R61"/>
          <cell r="S61" t="str">
            <v>Genérico</v>
          </cell>
          <cell r="T61" t="str">
            <v>Monitorado</v>
          </cell>
          <cell r="U61"/>
          <cell r="V61" t="str">
            <v>66722-44-9,58-93-5</v>
          </cell>
          <cell r="W61"/>
          <cell r="X61"/>
          <cell r="Y61" t="str">
            <v>MG</v>
          </cell>
          <cell r="Z61">
            <v>1299.0465200000001</v>
          </cell>
          <cell r="AA61" t="str">
            <v>192 - BETABLOQUEADORES ASSOCIADOS COM ANTIHIPERTENSIVOS E/OU DIURÉTICOS</v>
          </cell>
          <cell r="AB61" t="str">
            <v>N</v>
          </cell>
          <cell r="AC61" t="str">
            <v>N</v>
          </cell>
          <cell r="AD61">
            <v>0</v>
          </cell>
          <cell r="AE61" t="str">
            <v>N</v>
          </cell>
          <cell r="AF61">
            <v>0</v>
          </cell>
          <cell r="AG61">
            <v>50.51</v>
          </cell>
          <cell r="AH61">
            <v>53.56</v>
          </cell>
          <cell r="AI61">
            <v>0</v>
          </cell>
          <cell r="AJ61">
            <v>54.21</v>
          </cell>
          <cell r="AK61">
            <v>54.88</v>
          </cell>
          <cell r="AL61">
            <v>0</v>
          </cell>
          <cell r="AM61">
            <v>53.56</v>
          </cell>
          <cell r="AN61">
            <v>0</v>
          </cell>
          <cell r="AO61">
            <v>69.83</v>
          </cell>
          <cell r="AP61">
            <v>74.040000000000006</v>
          </cell>
          <cell r="AQ61">
            <v>0</v>
          </cell>
          <cell r="AR61">
            <v>74.94</v>
          </cell>
          <cell r="AS61">
            <v>75.86</v>
          </cell>
          <cell r="AT61">
            <v>0</v>
          </cell>
          <cell r="AU61">
            <v>74.040000000000006</v>
          </cell>
          <cell r="AV61">
            <v>0</v>
          </cell>
          <cell r="AW61">
            <v>51.2</v>
          </cell>
          <cell r="AX61">
            <v>54.28</v>
          </cell>
          <cell r="AY61">
            <v>54.61</v>
          </cell>
          <cell r="AZ61">
            <v>54.95</v>
          </cell>
          <cell r="BA61">
            <v>55.63</v>
          </cell>
          <cell r="BB61">
            <v>55.63</v>
          </cell>
          <cell r="BC61">
            <v>54.28</v>
          </cell>
          <cell r="BD61">
            <v>0</v>
          </cell>
          <cell r="BE61">
            <v>70.78</v>
          </cell>
          <cell r="BF61">
            <v>75.040000000000006</v>
          </cell>
          <cell r="BG61">
            <v>75.5</v>
          </cell>
          <cell r="BH61">
            <v>75.959999999999994</v>
          </cell>
          <cell r="BI61">
            <v>76.91</v>
          </cell>
          <cell r="BJ61">
            <v>77.86</v>
          </cell>
          <cell r="BK61">
            <v>75.040000000000006</v>
          </cell>
        </row>
        <row r="62">
          <cell r="A62"/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/>
        </row>
        <row r="63">
          <cell r="A63">
            <v>7891721002045</v>
          </cell>
          <cell r="B63">
            <v>1008902010086</v>
          </cell>
          <cell r="C63">
            <v>525401104114418</v>
          </cell>
          <cell r="D63" t="str">
            <v>BICONCOR</v>
          </cell>
          <cell r="E63" t="str">
            <v>5,0 MG / 6,25 MG COM REV CT FR PLAS OPC X 30</v>
          </cell>
          <cell r="F63" t="str">
            <v>Comprimido revestido</v>
          </cell>
          <cell r="G63"/>
          <cell r="H63"/>
          <cell r="I63">
            <v>30</v>
          </cell>
          <cell r="J63"/>
          <cell r="K63" t="str">
            <v>Conformidade</v>
          </cell>
          <cell r="L63">
            <v>3</v>
          </cell>
          <cell r="M63" t="str">
            <v>Tarja Vermelha</v>
          </cell>
          <cell r="N63" t="str">
            <v>Não</v>
          </cell>
          <cell r="O63" t="str">
            <v>Não</v>
          </cell>
          <cell r="P63" t="str">
            <v>Não</v>
          </cell>
          <cell r="Q63" t="str">
            <v>II</v>
          </cell>
          <cell r="R63"/>
          <cell r="S63" t="str">
            <v>Genérico</v>
          </cell>
          <cell r="T63" t="str">
            <v>Monitorado</v>
          </cell>
          <cell r="U63"/>
          <cell r="V63" t="str">
            <v>104344-23-2,58-93-5</v>
          </cell>
          <cell r="W63"/>
          <cell r="X63"/>
          <cell r="Y63" t="str">
            <v>MG</v>
          </cell>
          <cell r="Z63">
            <v>1300.0465200000001</v>
          </cell>
          <cell r="AA63" t="str">
            <v>192 - BETABLOQUEADORES ASSOCIADOS COM ANTIHIPERTENSIVOS E/OU DIURÉTICOS</v>
          </cell>
          <cell r="AB63" t="str">
            <v>N</v>
          </cell>
          <cell r="AC63" t="str">
            <v>N</v>
          </cell>
          <cell r="AD63">
            <v>0</v>
          </cell>
          <cell r="AE63" t="str">
            <v>N</v>
          </cell>
          <cell r="AF63">
            <v>0</v>
          </cell>
          <cell r="AG63">
            <v>65.69</v>
          </cell>
          <cell r="AH63">
            <v>69.650000000000006</v>
          </cell>
          <cell r="AI63">
            <v>0</v>
          </cell>
          <cell r="AJ63">
            <v>70.5</v>
          </cell>
          <cell r="AK63">
            <v>71.37</v>
          </cell>
          <cell r="AL63">
            <v>0</v>
          </cell>
          <cell r="AM63">
            <v>69.650000000000006</v>
          </cell>
          <cell r="AN63">
            <v>0</v>
          </cell>
          <cell r="AO63">
            <v>90.81</v>
          </cell>
          <cell r="AP63">
            <v>96.29</v>
          </cell>
          <cell r="AQ63">
            <v>0</v>
          </cell>
          <cell r="AR63">
            <v>97.46</v>
          </cell>
          <cell r="AS63">
            <v>98.66</v>
          </cell>
          <cell r="AT63">
            <v>0</v>
          </cell>
          <cell r="AU63">
            <v>96.29</v>
          </cell>
          <cell r="AV63">
            <v>0</v>
          </cell>
          <cell r="AW63">
            <v>66.59</v>
          </cell>
          <cell r="AX63">
            <v>70.599999999999994</v>
          </cell>
          <cell r="AY63">
            <v>71.02</v>
          </cell>
          <cell r="AZ63">
            <v>71.459999999999994</v>
          </cell>
          <cell r="BA63">
            <v>72.34</v>
          </cell>
          <cell r="BB63">
            <v>72.34</v>
          </cell>
          <cell r="BC63">
            <v>70.599999999999994</v>
          </cell>
          <cell r="BD63">
            <v>0</v>
          </cell>
          <cell r="BE63">
            <v>92.06</v>
          </cell>
          <cell r="BF63">
            <v>97.6</v>
          </cell>
          <cell r="BG63">
            <v>98.18</v>
          </cell>
          <cell r="BH63">
            <v>98.79</v>
          </cell>
          <cell r="BI63">
            <v>100.01</v>
          </cell>
          <cell r="BJ63">
            <v>101.25</v>
          </cell>
          <cell r="BK63">
            <v>97.6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</row>
        <row r="65">
          <cell r="A65">
            <v>7891721013034</v>
          </cell>
          <cell r="B65">
            <v>1008903220017</v>
          </cell>
          <cell r="C65">
            <v>525418401117114</v>
          </cell>
          <cell r="D65" t="str">
            <v>BROMAZEPAM</v>
          </cell>
          <cell r="E65" t="str">
            <v>3 MG COM CT BL AL PLAS INC X 20 </v>
          </cell>
          <cell r="F65" t="str">
            <v>Comprimido</v>
          </cell>
          <cell r="G65"/>
          <cell r="H65"/>
          <cell r="I65">
            <v>20</v>
          </cell>
          <cell r="J65"/>
          <cell r="K65" t="str">
            <v>Conformidade</v>
          </cell>
          <cell r="L65">
            <v>1</v>
          </cell>
          <cell r="M65" t="str">
            <v>Tarja Preta</v>
          </cell>
          <cell r="N65" t="str">
            <v>Não</v>
          </cell>
          <cell r="O65" t="str">
            <v>Não</v>
          </cell>
          <cell r="P65" t="str">
            <v>Não</v>
          </cell>
          <cell r="Q65" t="str">
            <v>I</v>
          </cell>
          <cell r="R65"/>
          <cell r="S65" t="str">
            <v>Genérico</v>
          </cell>
          <cell r="T65" t="str">
            <v>Monitorado</v>
          </cell>
          <cell r="U65"/>
          <cell r="V65" t="str">
            <v>1812-30-2</v>
          </cell>
          <cell r="W65"/>
          <cell r="X65"/>
          <cell r="Y65" t="str">
            <v>MG</v>
          </cell>
          <cell r="Z65">
            <v>1366</v>
          </cell>
          <cell r="AA65" t="str">
            <v>500 - TRANQUILIZANTES</v>
          </cell>
          <cell r="AB65" t="str">
            <v>N</v>
          </cell>
          <cell r="AC65" t="str">
            <v>N</v>
          </cell>
          <cell r="AD65">
            <v>0</v>
          </cell>
          <cell r="AE65" t="str">
            <v>N</v>
          </cell>
          <cell r="AF65">
            <v>0</v>
          </cell>
          <cell r="AG65">
            <v>6.98</v>
          </cell>
          <cell r="AH65">
            <v>7.4</v>
          </cell>
          <cell r="AI65">
            <v>0</v>
          </cell>
          <cell r="AJ65">
            <v>7.49</v>
          </cell>
          <cell r="AK65">
            <v>7.59</v>
          </cell>
          <cell r="AL65">
            <v>0</v>
          </cell>
          <cell r="AM65">
            <v>7.4</v>
          </cell>
          <cell r="AN65">
            <v>0</v>
          </cell>
          <cell r="AO65">
            <v>9.65</v>
          </cell>
          <cell r="AP65">
            <v>10.23</v>
          </cell>
          <cell r="AQ65">
            <v>0</v>
          </cell>
          <cell r="AR65">
            <v>10.36</v>
          </cell>
          <cell r="AS65">
            <v>10.49</v>
          </cell>
          <cell r="AT65">
            <v>0</v>
          </cell>
          <cell r="AU65">
            <v>10.23</v>
          </cell>
          <cell r="AV65">
            <v>0</v>
          </cell>
          <cell r="AW65">
            <v>7.31</v>
          </cell>
          <cell r="AX65">
            <v>7.75</v>
          </cell>
          <cell r="AY65">
            <v>7.8</v>
          </cell>
          <cell r="AZ65">
            <v>7.85</v>
          </cell>
          <cell r="BA65">
            <v>7.94</v>
          </cell>
          <cell r="BB65">
            <v>7.94</v>
          </cell>
          <cell r="BC65">
            <v>7.75</v>
          </cell>
          <cell r="BD65">
            <v>0</v>
          </cell>
          <cell r="BE65">
            <v>10.11</v>
          </cell>
          <cell r="BF65">
            <v>10.71</v>
          </cell>
          <cell r="BG65">
            <v>10.78</v>
          </cell>
          <cell r="BH65">
            <v>10.85</v>
          </cell>
          <cell r="BI65">
            <v>10.98</v>
          </cell>
          <cell r="BJ65">
            <v>11.11</v>
          </cell>
          <cell r="BK65">
            <v>10.71</v>
          </cell>
        </row>
        <row r="66">
          <cell r="A66">
            <v>7891721013096</v>
          </cell>
          <cell r="B66">
            <v>1008903220041</v>
          </cell>
          <cell r="C66">
            <v>525418402113112</v>
          </cell>
          <cell r="D66" t="str">
            <v>BROMAZEPAM</v>
          </cell>
          <cell r="E66" t="str">
            <v>6 MG COM CT BL AL PLAS INC X 20 </v>
          </cell>
          <cell r="F66" t="str">
            <v>Comprimido</v>
          </cell>
          <cell r="G66"/>
          <cell r="H66"/>
          <cell r="I66">
            <v>20</v>
          </cell>
          <cell r="J66"/>
          <cell r="K66" t="str">
            <v>Conformidade</v>
          </cell>
          <cell r="L66">
            <v>1</v>
          </cell>
          <cell r="M66" t="str">
            <v>Tarja Preta</v>
          </cell>
          <cell r="N66" t="str">
            <v>Não</v>
          </cell>
          <cell r="O66" t="str">
            <v>Não</v>
          </cell>
          <cell r="P66" t="str">
            <v>Não</v>
          </cell>
          <cell r="Q66" t="str">
            <v>I</v>
          </cell>
          <cell r="R66"/>
          <cell r="S66" t="str">
            <v>Genérico</v>
          </cell>
          <cell r="T66" t="str">
            <v>Monitorado</v>
          </cell>
          <cell r="U66"/>
          <cell r="V66" t="str">
            <v>1812-30-2</v>
          </cell>
          <cell r="W66"/>
          <cell r="X66"/>
          <cell r="Y66" t="str">
            <v>MG</v>
          </cell>
          <cell r="Z66">
            <v>1366</v>
          </cell>
          <cell r="AA66" t="str">
            <v>500 - TRANQUILIZANTES</v>
          </cell>
          <cell r="AB66" t="str">
            <v>N</v>
          </cell>
          <cell r="AC66" t="str">
            <v>N</v>
          </cell>
          <cell r="AD66">
            <v>0</v>
          </cell>
          <cell r="AE66" t="str">
            <v>N</v>
          </cell>
          <cell r="AF66">
            <v>0</v>
          </cell>
          <cell r="AG66">
            <v>10.76</v>
          </cell>
          <cell r="AH66">
            <v>11.4</v>
          </cell>
          <cell r="AI66">
            <v>0</v>
          </cell>
          <cell r="AJ66">
            <v>11.54</v>
          </cell>
          <cell r="AK66">
            <v>11.69</v>
          </cell>
          <cell r="AL66">
            <v>0</v>
          </cell>
          <cell r="AM66">
            <v>11.4</v>
          </cell>
          <cell r="AN66">
            <v>0</v>
          </cell>
          <cell r="AO66">
            <v>14.88</v>
          </cell>
          <cell r="AP66">
            <v>15.76</v>
          </cell>
          <cell r="AQ66">
            <v>0</v>
          </cell>
          <cell r="AR66">
            <v>15.96</v>
          </cell>
          <cell r="AS66">
            <v>16.16</v>
          </cell>
          <cell r="AT66">
            <v>0</v>
          </cell>
          <cell r="AU66">
            <v>15.76</v>
          </cell>
          <cell r="AV66">
            <v>0</v>
          </cell>
          <cell r="AW66">
            <v>11.26</v>
          </cell>
          <cell r="AX66">
            <v>11.94</v>
          </cell>
          <cell r="AY66">
            <v>12.02</v>
          </cell>
          <cell r="AZ66">
            <v>12.09</v>
          </cell>
          <cell r="BA66">
            <v>12.24</v>
          </cell>
          <cell r="BB66">
            <v>12.24</v>
          </cell>
          <cell r="BC66">
            <v>11.94</v>
          </cell>
          <cell r="BD66">
            <v>0</v>
          </cell>
          <cell r="BE66">
            <v>15.57</v>
          </cell>
          <cell r="BF66">
            <v>16.510000000000002</v>
          </cell>
          <cell r="BG66">
            <v>16.62</v>
          </cell>
          <cell r="BH66">
            <v>16.71</v>
          </cell>
          <cell r="BI66">
            <v>16.920000000000002</v>
          </cell>
          <cell r="BJ66">
            <v>17.13</v>
          </cell>
          <cell r="BK66">
            <v>16.510000000000002</v>
          </cell>
        </row>
        <row r="67">
          <cell r="A67">
            <v>7891721238376</v>
          </cell>
          <cell r="B67">
            <v>1008903090016</v>
          </cell>
          <cell r="C67">
            <v>525417301135112</v>
          </cell>
          <cell r="D67" t="str">
            <v>BROMOPRIDA</v>
          </cell>
          <cell r="E67" t="str">
            <v>4 MG/ML SOL OR CT FR PLAS OPC GOT X 20 ML </v>
          </cell>
          <cell r="F67" t="str">
            <v>SOLUÇÃO ORAL</v>
          </cell>
          <cell r="G67">
            <v>1</v>
          </cell>
          <cell r="H67" t="str">
            <v>FRASCO</v>
          </cell>
          <cell r="I67">
            <v>20</v>
          </cell>
          <cell r="J67" t="str">
            <v>ML</v>
          </cell>
          <cell r="K67" t="str">
            <v>Conformidade</v>
          </cell>
          <cell r="L67">
            <v>2</v>
          </cell>
          <cell r="M67" t="str">
            <v>Tarja Vermelha</v>
          </cell>
          <cell r="N67" t="str">
            <v>Não</v>
          </cell>
          <cell r="O67" t="str">
            <v>Não</v>
          </cell>
          <cell r="P67" t="str">
            <v>Não</v>
          </cell>
          <cell r="Q67" t="str">
            <v>N</v>
          </cell>
          <cell r="R67"/>
          <cell r="S67" t="str">
            <v>Genérico</v>
          </cell>
          <cell r="T67" t="str">
            <v>Monitorado</v>
          </cell>
          <cell r="U67"/>
          <cell r="V67" t="str">
            <v>4093-35-0</v>
          </cell>
          <cell r="W67"/>
          <cell r="X67"/>
          <cell r="Y67" t="str">
            <v>MG/ML</v>
          </cell>
          <cell r="Z67">
            <v>1471</v>
          </cell>
          <cell r="AA67" t="str">
            <v>24 - GASTROPROCINÉTICOS</v>
          </cell>
          <cell r="AB67" t="str">
            <v>N</v>
          </cell>
          <cell r="AC67" t="str">
            <v>N</v>
          </cell>
          <cell r="AD67">
            <v>0</v>
          </cell>
          <cell r="AE67" t="str">
            <v>N</v>
          </cell>
          <cell r="AF67">
            <v>0</v>
          </cell>
          <cell r="AG67">
            <v>10.16</v>
          </cell>
          <cell r="AH67">
            <v>10.87</v>
          </cell>
          <cell r="AI67">
            <v>0</v>
          </cell>
          <cell r="AJ67">
            <v>11.02</v>
          </cell>
          <cell r="AK67">
            <v>11.18</v>
          </cell>
          <cell r="AL67">
            <v>0</v>
          </cell>
          <cell r="AM67">
            <v>9.4600000000000009</v>
          </cell>
          <cell r="AN67">
            <v>0</v>
          </cell>
          <cell r="AO67">
            <v>13.57</v>
          </cell>
          <cell r="AP67">
            <v>14.49</v>
          </cell>
          <cell r="AQ67">
            <v>0</v>
          </cell>
          <cell r="AR67">
            <v>14.68</v>
          </cell>
          <cell r="AS67">
            <v>14.89</v>
          </cell>
          <cell r="AT67">
            <v>0</v>
          </cell>
          <cell r="AU67">
            <v>13.08</v>
          </cell>
          <cell r="AV67">
            <v>0</v>
          </cell>
          <cell r="AW67">
            <v>10.16</v>
          </cell>
          <cell r="AX67">
            <v>10.87</v>
          </cell>
          <cell r="AY67">
            <v>10.94</v>
          </cell>
          <cell r="AZ67">
            <v>11.02</v>
          </cell>
          <cell r="BA67">
            <v>11.18</v>
          </cell>
          <cell r="BB67">
            <v>11.18</v>
          </cell>
          <cell r="BC67">
            <v>9.4600000000000009</v>
          </cell>
          <cell r="BD67">
            <v>0</v>
          </cell>
          <cell r="BE67">
            <v>13.57</v>
          </cell>
          <cell r="BF67">
            <v>14.49</v>
          </cell>
          <cell r="BG67">
            <v>14.58</v>
          </cell>
          <cell r="BH67">
            <v>14.68</v>
          </cell>
          <cell r="BI67">
            <v>14.89</v>
          </cell>
          <cell r="BJ67">
            <v>15.09</v>
          </cell>
          <cell r="BK67">
            <v>13.08</v>
          </cell>
        </row>
        <row r="68">
          <cell r="A68">
            <v>7891721255601</v>
          </cell>
          <cell r="B68">
            <v>1008902830024</v>
          </cell>
          <cell r="C68">
            <v>525401401135126</v>
          </cell>
          <cell r="D68" t="str">
            <v>CARBOCISTEINA</v>
          </cell>
          <cell r="E68" t="str">
            <v>20MG/ML XPE CT FR PLAS AMB X 100ML</v>
          </cell>
          <cell r="F68" t="str">
            <v>Xarope</v>
          </cell>
          <cell r="G68">
            <v>1</v>
          </cell>
          <cell r="H68" t="str">
            <v>FRASCO</v>
          </cell>
          <cell r="I68">
            <v>100</v>
          </cell>
          <cell r="J68" t="str">
            <v>ML</v>
          </cell>
          <cell r="K68" t="str">
            <v>Conformidade</v>
          </cell>
          <cell r="L68">
            <v>1</v>
          </cell>
          <cell r="M68" t="str">
            <v>Venda Livre</v>
          </cell>
          <cell r="N68" t="str">
            <v>Não</v>
          </cell>
          <cell r="O68" t="str">
            <v>Não</v>
          </cell>
          <cell r="P68" t="str">
            <v>Não</v>
          </cell>
          <cell r="Q68" t="str">
            <v>N</v>
          </cell>
          <cell r="R68"/>
          <cell r="S68" t="str">
            <v>Genérico</v>
          </cell>
          <cell r="T68" t="str">
            <v>Liberado</v>
          </cell>
          <cell r="U68" t="str">
            <v>Resolução CMED nº 5, de 9 de outubro de 2003</v>
          </cell>
          <cell r="V68" t="str">
            <v>638-23-3</v>
          </cell>
          <cell r="W68"/>
          <cell r="X68"/>
          <cell r="Y68" t="str">
            <v>MG/ML</v>
          </cell>
          <cell r="Z68">
            <v>1739</v>
          </cell>
          <cell r="AA68" t="str">
            <v>561 - EXPECTORANTES</v>
          </cell>
          <cell r="AB68" t="str">
            <v>N</v>
          </cell>
          <cell r="AC68" t="str">
            <v>N</v>
          </cell>
          <cell r="AD68">
            <v>0</v>
          </cell>
          <cell r="AE68" t="str">
            <v>N</v>
          </cell>
          <cell r="AF68">
            <v>0</v>
          </cell>
          <cell r="AG68">
            <v>8</v>
          </cell>
          <cell r="AH68">
            <v>8.56</v>
          </cell>
          <cell r="AI68">
            <v>0</v>
          </cell>
          <cell r="AJ68">
            <v>8.68</v>
          </cell>
          <cell r="AK68">
            <v>8.8000000000000007</v>
          </cell>
          <cell r="AL68">
            <v>0</v>
          </cell>
          <cell r="AM68">
            <v>7.45</v>
          </cell>
          <cell r="AN68">
            <v>0</v>
          </cell>
          <cell r="AO68">
            <v>10.69</v>
          </cell>
          <cell r="AP68">
            <v>11.41</v>
          </cell>
          <cell r="AQ68">
            <v>0</v>
          </cell>
          <cell r="AR68">
            <v>11.56</v>
          </cell>
          <cell r="AS68">
            <v>11.72</v>
          </cell>
          <cell r="AT68">
            <v>0</v>
          </cell>
          <cell r="AU68">
            <v>10.3</v>
          </cell>
          <cell r="AV68">
            <v>0</v>
          </cell>
          <cell r="AW68">
            <v>0.92</v>
          </cell>
          <cell r="AX68">
            <v>0.99</v>
          </cell>
          <cell r="AY68">
            <v>0.99</v>
          </cell>
          <cell r="AZ68">
            <v>1</v>
          </cell>
          <cell r="BA68">
            <v>1.01</v>
          </cell>
          <cell r="BB68">
            <v>1.01</v>
          </cell>
          <cell r="BC68">
            <v>0.86</v>
          </cell>
          <cell r="BD68">
            <v>0</v>
          </cell>
          <cell r="BE68">
            <v>1.23</v>
          </cell>
          <cell r="BF68">
            <v>1.32</v>
          </cell>
          <cell r="BG68">
            <v>1.32</v>
          </cell>
          <cell r="BH68">
            <v>1.33</v>
          </cell>
          <cell r="BI68">
            <v>1.34</v>
          </cell>
          <cell r="BJ68">
            <v>1.37</v>
          </cell>
          <cell r="BK68">
            <v>1.19</v>
          </cell>
        </row>
        <row r="69">
          <cell r="A69">
            <v>7891721255625</v>
          </cell>
          <cell r="B69">
            <v>1008902830016</v>
          </cell>
          <cell r="C69">
            <v>525401402131124</v>
          </cell>
          <cell r="D69" t="str">
            <v>CARBOCISTEINA</v>
          </cell>
          <cell r="E69" t="str">
            <v>50MG/ML XPE CT FR PLAS AMB X 100ML</v>
          </cell>
          <cell r="F69" t="str">
            <v>Xarope</v>
          </cell>
          <cell r="G69">
            <v>1</v>
          </cell>
          <cell r="H69" t="str">
            <v>FRASCO</v>
          </cell>
          <cell r="I69">
            <v>100</v>
          </cell>
          <cell r="J69" t="str">
            <v>ML</v>
          </cell>
          <cell r="K69" t="str">
            <v>Conformidade</v>
          </cell>
          <cell r="L69">
            <v>1</v>
          </cell>
          <cell r="M69" t="str">
            <v>Venda Livre</v>
          </cell>
          <cell r="N69" t="str">
            <v>Não</v>
          </cell>
          <cell r="O69" t="str">
            <v>Não</v>
          </cell>
          <cell r="P69" t="str">
            <v>Não</v>
          </cell>
          <cell r="Q69" t="str">
            <v>N</v>
          </cell>
          <cell r="R69"/>
          <cell r="S69" t="str">
            <v>Genérico</v>
          </cell>
          <cell r="T69" t="str">
            <v>Liberado</v>
          </cell>
          <cell r="U69" t="str">
            <v>Resolução CMED nº 5, de 9 de outubro de 2003</v>
          </cell>
          <cell r="V69" t="str">
            <v>638-23-3</v>
          </cell>
          <cell r="W69"/>
          <cell r="X69"/>
          <cell r="Y69" t="str">
            <v>MG/ML</v>
          </cell>
          <cell r="Z69">
            <v>1739</v>
          </cell>
          <cell r="AA69" t="str">
            <v>561 - EXPECTORANTES</v>
          </cell>
          <cell r="AB69" t="str">
            <v>N</v>
          </cell>
          <cell r="AC69" t="str">
            <v>N</v>
          </cell>
          <cell r="AD69">
            <v>0</v>
          </cell>
          <cell r="AE69" t="str">
            <v>N</v>
          </cell>
          <cell r="AF69">
            <v>0</v>
          </cell>
          <cell r="AG69">
            <v>12.05</v>
          </cell>
          <cell r="AH69">
            <v>12.89</v>
          </cell>
          <cell r="AI69">
            <v>0</v>
          </cell>
          <cell r="AJ69">
            <v>13.07</v>
          </cell>
          <cell r="AK69">
            <v>13.26</v>
          </cell>
          <cell r="AL69">
            <v>0</v>
          </cell>
          <cell r="AM69">
            <v>11.22</v>
          </cell>
          <cell r="AN69">
            <v>0</v>
          </cell>
          <cell r="AO69">
            <v>16.100000000000001</v>
          </cell>
          <cell r="AP69">
            <v>17.18</v>
          </cell>
          <cell r="AQ69">
            <v>0</v>
          </cell>
          <cell r="AR69">
            <v>17.41</v>
          </cell>
          <cell r="AS69">
            <v>17.66</v>
          </cell>
          <cell r="AT69">
            <v>0</v>
          </cell>
          <cell r="AU69">
            <v>15.51</v>
          </cell>
          <cell r="AV69">
            <v>0</v>
          </cell>
          <cell r="AW69">
            <v>0.92</v>
          </cell>
          <cell r="AX69">
            <v>0.99</v>
          </cell>
          <cell r="AY69">
            <v>0.99</v>
          </cell>
          <cell r="AZ69">
            <v>1</v>
          </cell>
          <cell r="BA69">
            <v>1.01</v>
          </cell>
          <cell r="BB69">
            <v>1.01</v>
          </cell>
          <cell r="BC69">
            <v>0.86</v>
          </cell>
          <cell r="BD69">
            <v>0</v>
          </cell>
          <cell r="BE69">
            <v>1.23</v>
          </cell>
          <cell r="BF69">
            <v>1.32</v>
          </cell>
          <cell r="BG69">
            <v>1.32</v>
          </cell>
          <cell r="BH69">
            <v>1.33</v>
          </cell>
          <cell r="BI69">
            <v>1.34</v>
          </cell>
          <cell r="BJ69">
            <v>1.37</v>
          </cell>
          <cell r="BK69">
            <v>1.19</v>
          </cell>
        </row>
        <row r="70">
          <cell r="A70">
            <v>7891721024337</v>
          </cell>
          <cell r="B70">
            <v>1008900710455</v>
          </cell>
          <cell r="C70">
            <v>525401504112412</v>
          </cell>
          <cell r="D70" t="str">
            <v>CEBION</v>
          </cell>
          <cell r="E70" t="str">
            <v>1 G COM EFERV EST CART 3 TB PLAS X 10 SABOR LARANJ</v>
          </cell>
          <cell r="F70" t="str">
            <v>Comprimido efervescente</v>
          </cell>
          <cell r="G70"/>
          <cell r="H70"/>
          <cell r="I70">
            <v>30</v>
          </cell>
          <cell r="J70"/>
          <cell r="K70" t="str">
            <v>Conformidade</v>
          </cell>
          <cell r="L70">
            <v>2</v>
          </cell>
          <cell r="M70" t="str">
            <v>Venda Livre</v>
          </cell>
          <cell r="N70" t="str">
            <v>Não</v>
          </cell>
          <cell r="O70" t="str">
            <v>Não</v>
          </cell>
          <cell r="P70" t="str">
            <v>Não</v>
          </cell>
          <cell r="Q70" t="str">
            <v>N</v>
          </cell>
          <cell r="R70"/>
          <cell r="S70" t="str">
            <v>Genérico</v>
          </cell>
          <cell r="T70" t="str">
            <v>Liberado</v>
          </cell>
          <cell r="U70" t="str">
            <v>RESOLUÇÃO Nº 3, DE 18 DE MARÇO DE 2010</v>
          </cell>
          <cell r="V70" t="str">
            <v>50-81-7</v>
          </cell>
          <cell r="W70"/>
          <cell r="X70"/>
          <cell r="Y70" t="str">
            <v>G</v>
          </cell>
          <cell r="Z70">
            <v>104</v>
          </cell>
          <cell r="AA70" t="str">
            <v>99 - VITAMINA C PURA</v>
          </cell>
          <cell r="AB70" t="str">
            <v>N</v>
          </cell>
          <cell r="AC70" t="str">
            <v>N</v>
          </cell>
          <cell r="AD70">
            <v>0</v>
          </cell>
          <cell r="AE70" t="str">
            <v>N</v>
          </cell>
          <cell r="AF70">
            <v>0</v>
          </cell>
          <cell r="AG70">
            <v>27.54</v>
          </cell>
          <cell r="AH70">
            <v>29.46</v>
          </cell>
          <cell r="AI70">
            <v>0</v>
          </cell>
          <cell r="AJ70">
            <v>29.88</v>
          </cell>
          <cell r="AK70">
            <v>30.31</v>
          </cell>
          <cell r="AL70">
            <v>0</v>
          </cell>
          <cell r="AM70">
            <v>25.59</v>
          </cell>
          <cell r="AN70">
            <v>0</v>
          </cell>
          <cell r="AO70">
            <v>36.729999999999997</v>
          </cell>
          <cell r="AP70">
            <v>39.200000000000003</v>
          </cell>
          <cell r="AQ70">
            <v>0</v>
          </cell>
          <cell r="AR70">
            <v>39.74</v>
          </cell>
          <cell r="AS70">
            <v>40.29</v>
          </cell>
          <cell r="AT70">
            <v>0</v>
          </cell>
          <cell r="AU70">
            <v>35.380000000000003</v>
          </cell>
          <cell r="AV70">
            <v>0</v>
          </cell>
          <cell r="AW70">
            <v>27.55</v>
          </cell>
          <cell r="AX70">
            <v>29.47</v>
          </cell>
          <cell r="AY70">
            <v>29.67</v>
          </cell>
          <cell r="AZ70">
            <v>29.88</v>
          </cell>
          <cell r="BA70">
            <v>30.31</v>
          </cell>
          <cell r="BB70">
            <v>30.31</v>
          </cell>
          <cell r="BC70">
            <v>25.65</v>
          </cell>
          <cell r="BD70">
            <v>0</v>
          </cell>
          <cell r="BE70">
            <v>36.799999999999997</v>
          </cell>
          <cell r="BF70">
            <v>39.28</v>
          </cell>
          <cell r="BG70">
            <v>39.54</v>
          </cell>
          <cell r="BH70">
            <v>39.81</v>
          </cell>
          <cell r="BI70">
            <v>40.36</v>
          </cell>
          <cell r="BJ70">
            <v>40.93</v>
          </cell>
          <cell r="BK70">
            <v>35.46</v>
          </cell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/>
          <cell r="AR71"/>
          <cell r="AS71"/>
          <cell r="AT71"/>
          <cell r="AU71"/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/>
          <cell r="BG71"/>
          <cell r="BH71"/>
          <cell r="BI71"/>
          <cell r="BJ71"/>
          <cell r="BK71"/>
        </row>
        <row r="72">
          <cell r="A72">
            <v>7891721100017</v>
          </cell>
          <cell r="B72">
            <v>1008900710051</v>
          </cell>
          <cell r="C72">
            <v>525401505119410</v>
          </cell>
          <cell r="D72" t="str">
            <v>CEBION</v>
          </cell>
          <cell r="E72" t="str">
            <v>1G COM EFERV EST CART TB PLAS X 10</v>
          </cell>
          <cell r="F72" t="str">
            <v>Comprimido efervescente</v>
          </cell>
          <cell r="G72"/>
          <cell r="H72"/>
          <cell r="I72">
            <v>10</v>
          </cell>
          <cell r="J72"/>
          <cell r="K72" t="str">
            <v>Conformidade</v>
          </cell>
          <cell r="L72">
            <v>2</v>
          </cell>
          <cell r="M72" t="str">
            <v>Venda Livre</v>
          </cell>
          <cell r="N72" t="str">
            <v>Não</v>
          </cell>
          <cell r="O72" t="str">
            <v>Não</v>
          </cell>
          <cell r="P72" t="str">
            <v>Não</v>
          </cell>
          <cell r="Q72" t="str">
            <v>N</v>
          </cell>
          <cell r="R72"/>
          <cell r="S72" t="str">
            <v>Genérico</v>
          </cell>
          <cell r="T72" t="str">
            <v>Liberado</v>
          </cell>
          <cell r="U72" t="str">
            <v>Resolução Nº 3, de 18 de Março de 2010</v>
          </cell>
          <cell r="V72" t="str">
            <v>50-81-7</v>
          </cell>
          <cell r="W72"/>
          <cell r="X72"/>
          <cell r="Y72" t="str">
            <v>G</v>
          </cell>
          <cell r="Z72">
            <v>104</v>
          </cell>
          <cell r="AA72" t="str">
            <v>99 - VITAMINA C PURA</v>
          </cell>
          <cell r="AB72" t="str">
            <v>N</v>
          </cell>
          <cell r="AC72" t="str">
            <v>N</v>
          </cell>
          <cell r="AD72">
            <v>0</v>
          </cell>
          <cell r="AE72" t="str">
            <v>N</v>
          </cell>
          <cell r="AF72">
            <v>0</v>
          </cell>
          <cell r="AG72">
            <v>11.41</v>
          </cell>
          <cell r="AH72">
            <v>12.21</v>
          </cell>
          <cell r="AI72">
            <v>0</v>
          </cell>
          <cell r="AJ72">
            <v>12.38</v>
          </cell>
          <cell r="AK72">
            <v>12.56</v>
          </cell>
          <cell r="AL72">
            <v>0</v>
          </cell>
          <cell r="AM72">
            <v>10.6</v>
          </cell>
          <cell r="AN72">
            <v>0</v>
          </cell>
          <cell r="AO72">
            <v>15.22</v>
          </cell>
          <cell r="AP72">
            <v>16.239999999999998</v>
          </cell>
          <cell r="AQ72">
            <v>0</v>
          </cell>
          <cell r="AR72">
            <v>16.46</v>
          </cell>
          <cell r="AS72">
            <v>16.690000000000001</v>
          </cell>
          <cell r="AT72">
            <v>0</v>
          </cell>
          <cell r="AU72">
            <v>14.66</v>
          </cell>
          <cell r="AV72">
            <v>0</v>
          </cell>
          <cell r="AW72">
            <v>11.41</v>
          </cell>
          <cell r="AX72">
            <v>12.2</v>
          </cell>
          <cell r="AY72">
            <v>12.28</v>
          </cell>
          <cell r="AZ72">
            <v>12.37</v>
          </cell>
          <cell r="BA72">
            <v>12.55</v>
          </cell>
          <cell r="BB72">
            <v>12.55</v>
          </cell>
          <cell r="BC72">
            <v>10.62</v>
          </cell>
          <cell r="BD72">
            <v>0</v>
          </cell>
          <cell r="BE72">
            <v>15.24</v>
          </cell>
          <cell r="BF72">
            <v>16.260000000000002</v>
          </cell>
          <cell r="BG72">
            <v>16.36</v>
          </cell>
          <cell r="BH72">
            <v>16.48</v>
          </cell>
          <cell r="BI72">
            <v>16.71</v>
          </cell>
          <cell r="BJ72">
            <v>16.940000000000001</v>
          </cell>
          <cell r="BK72">
            <v>14.68</v>
          </cell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/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/>
          <cell r="BG73"/>
          <cell r="BH73"/>
          <cell r="BI73"/>
          <cell r="BJ73"/>
          <cell r="BK73"/>
        </row>
        <row r="74">
          <cell r="A74">
            <v>7891721104923</v>
          </cell>
          <cell r="B74">
            <v>1008900710382</v>
          </cell>
          <cell r="C74">
            <v>525401506115419</v>
          </cell>
          <cell r="D74" t="str">
            <v>CEBION</v>
          </cell>
          <cell r="E74" t="str">
            <v>1G COM EFERV EST TB PLAS X 10 - SABOR ACEROLA</v>
          </cell>
          <cell r="F74" t="str">
            <v>Comprimido efervescente</v>
          </cell>
          <cell r="G74"/>
          <cell r="H74"/>
          <cell r="I74">
            <v>10</v>
          </cell>
          <cell r="J74"/>
          <cell r="K74" t="str">
            <v>Conformidade</v>
          </cell>
          <cell r="L74">
            <v>2</v>
          </cell>
          <cell r="M74" t="str">
            <v>Venda Livre</v>
          </cell>
          <cell r="N74" t="str">
            <v>Não</v>
          </cell>
          <cell r="O74" t="str">
            <v>Não</v>
          </cell>
          <cell r="P74" t="str">
            <v>Não</v>
          </cell>
          <cell r="Q74" t="str">
            <v>N</v>
          </cell>
          <cell r="R74"/>
          <cell r="S74" t="str">
            <v>Genérico</v>
          </cell>
          <cell r="T74" t="str">
            <v>Liberado</v>
          </cell>
          <cell r="U74" t="str">
            <v>Resolução Nº 3, de 18 de Março de 2010</v>
          </cell>
          <cell r="V74" t="str">
            <v>50-81-7</v>
          </cell>
          <cell r="W74"/>
          <cell r="X74"/>
          <cell r="Y74" t="str">
            <v>G</v>
          </cell>
          <cell r="Z74">
            <v>104</v>
          </cell>
          <cell r="AA74" t="str">
            <v>99 - VITAMINA C PURA</v>
          </cell>
          <cell r="AB74" t="str">
            <v>N</v>
          </cell>
          <cell r="AC74" t="str">
            <v>N</v>
          </cell>
          <cell r="AD74">
            <v>0</v>
          </cell>
          <cell r="AE74" t="str">
            <v>N</v>
          </cell>
          <cell r="AF74">
            <v>0</v>
          </cell>
          <cell r="AG74">
            <v>11.41</v>
          </cell>
          <cell r="AH74">
            <v>12.21</v>
          </cell>
          <cell r="AI74">
            <v>0</v>
          </cell>
          <cell r="AJ74">
            <v>12.38</v>
          </cell>
          <cell r="AK74">
            <v>12.56</v>
          </cell>
          <cell r="AL74">
            <v>0</v>
          </cell>
          <cell r="AM74">
            <v>10.6</v>
          </cell>
          <cell r="AN74">
            <v>0</v>
          </cell>
          <cell r="AO74">
            <v>15.22</v>
          </cell>
          <cell r="AP74">
            <v>16.239999999999998</v>
          </cell>
          <cell r="AQ74">
            <v>0</v>
          </cell>
          <cell r="AR74">
            <v>16.46</v>
          </cell>
          <cell r="AS74">
            <v>16.690000000000001</v>
          </cell>
          <cell r="AT74">
            <v>0</v>
          </cell>
          <cell r="AU74">
            <v>14.66</v>
          </cell>
          <cell r="AV74">
            <v>0</v>
          </cell>
          <cell r="AW74">
            <v>11.41</v>
          </cell>
          <cell r="AX74">
            <v>12.2</v>
          </cell>
          <cell r="AY74">
            <v>12.28</v>
          </cell>
          <cell r="AZ74">
            <v>12.37</v>
          </cell>
          <cell r="BA74">
            <v>12.55</v>
          </cell>
          <cell r="BB74">
            <v>12.55</v>
          </cell>
          <cell r="BC74">
            <v>10.62</v>
          </cell>
          <cell r="BD74">
            <v>0</v>
          </cell>
          <cell r="BE74">
            <v>15.24</v>
          </cell>
          <cell r="BF74">
            <v>16.260000000000002</v>
          </cell>
          <cell r="BG74">
            <v>16.36</v>
          </cell>
          <cell r="BH74">
            <v>16.48</v>
          </cell>
          <cell r="BI74">
            <v>16.71</v>
          </cell>
          <cell r="BJ74">
            <v>16.940000000000001</v>
          </cell>
          <cell r="BK74">
            <v>14.68</v>
          </cell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/>
          <cell r="BH75"/>
          <cell r="BI75"/>
          <cell r="BJ75"/>
          <cell r="BK75"/>
        </row>
        <row r="76">
          <cell r="A76">
            <v>7891721104831</v>
          </cell>
          <cell r="B76">
            <v>1008900710481</v>
          </cell>
          <cell r="C76">
            <v>525401510112410</v>
          </cell>
          <cell r="D76" t="str">
            <v>CEBION</v>
          </cell>
          <cell r="E76" t="str">
            <v>1G COM EFERV SEM AÇÚCAR EST CART TB PLAS X 10</v>
          </cell>
          <cell r="F76" t="str">
            <v>Comprimido efervescente</v>
          </cell>
          <cell r="G76"/>
          <cell r="H76"/>
          <cell r="I76">
            <v>10</v>
          </cell>
          <cell r="J76"/>
          <cell r="K76" t="str">
            <v>Conformidade</v>
          </cell>
          <cell r="L76">
            <v>2</v>
          </cell>
          <cell r="M76" t="str">
            <v>Venda Livre</v>
          </cell>
          <cell r="N76" t="str">
            <v>Não</v>
          </cell>
          <cell r="O76" t="str">
            <v>Não</v>
          </cell>
          <cell r="P76" t="str">
            <v>Não</v>
          </cell>
          <cell r="Q76" t="str">
            <v>N</v>
          </cell>
          <cell r="R76"/>
          <cell r="S76" t="str">
            <v>Genérico</v>
          </cell>
          <cell r="T76" t="str">
            <v>Liberado</v>
          </cell>
          <cell r="U76" t="str">
            <v>Resolução Nº 3, de 18 de Março de 2010</v>
          </cell>
          <cell r="V76" t="str">
            <v>50-81-7</v>
          </cell>
          <cell r="W76"/>
          <cell r="X76"/>
          <cell r="Y76" t="str">
            <v>G</v>
          </cell>
          <cell r="Z76">
            <v>104</v>
          </cell>
          <cell r="AA76" t="str">
            <v>99 - VITAMINA C PURA</v>
          </cell>
          <cell r="AB76" t="str">
            <v>N</v>
          </cell>
          <cell r="AC76" t="str">
            <v>N</v>
          </cell>
          <cell r="AD76">
            <v>0</v>
          </cell>
          <cell r="AE76" t="str">
            <v>N</v>
          </cell>
          <cell r="AF76">
            <v>0</v>
          </cell>
          <cell r="AG76">
            <v>11.91</v>
          </cell>
          <cell r="AH76">
            <v>12.74</v>
          </cell>
          <cell r="AI76">
            <v>0</v>
          </cell>
          <cell r="AJ76">
            <v>12.92</v>
          </cell>
          <cell r="AK76">
            <v>13.11</v>
          </cell>
          <cell r="AL76">
            <v>0</v>
          </cell>
          <cell r="AM76">
            <v>11.07</v>
          </cell>
          <cell r="AN76">
            <v>0</v>
          </cell>
          <cell r="AO76">
            <v>15.88</v>
          </cell>
          <cell r="AP76">
            <v>16.95</v>
          </cell>
          <cell r="AQ76">
            <v>0</v>
          </cell>
          <cell r="AR76">
            <v>17.18</v>
          </cell>
          <cell r="AS76">
            <v>17.420000000000002</v>
          </cell>
          <cell r="AT76">
            <v>0</v>
          </cell>
          <cell r="AU76">
            <v>15.3</v>
          </cell>
          <cell r="AV76">
            <v>0</v>
          </cell>
          <cell r="AW76">
            <v>11.91</v>
          </cell>
          <cell r="AX76">
            <v>12.73</v>
          </cell>
          <cell r="AY76">
            <v>12.82</v>
          </cell>
          <cell r="AZ76">
            <v>12.91</v>
          </cell>
          <cell r="BA76">
            <v>13.09</v>
          </cell>
          <cell r="BB76">
            <v>13.09</v>
          </cell>
          <cell r="BC76">
            <v>11.08</v>
          </cell>
          <cell r="BD76">
            <v>0</v>
          </cell>
          <cell r="BE76">
            <v>15.91</v>
          </cell>
          <cell r="BF76">
            <v>16.97</v>
          </cell>
          <cell r="BG76">
            <v>17.079999999999998</v>
          </cell>
          <cell r="BH76">
            <v>17.2</v>
          </cell>
          <cell r="BI76">
            <v>17.43</v>
          </cell>
          <cell r="BJ76">
            <v>17.68</v>
          </cell>
          <cell r="BK76">
            <v>15.32</v>
          </cell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/>
          <cell r="BI77"/>
          <cell r="BJ77"/>
          <cell r="BK77"/>
        </row>
        <row r="78">
          <cell r="A78">
            <v>7891721100024</v>
          </cell>
          <cell r="B78">
            <v>1008900710061</v>
          </cell>
          <cell r="C78">
            <v>525401508118415</v>
          </cell>
          <cell r="D78" t="str">
            <v>CEBION</v>
          </cell>
          <cell r="E78" t="str">
            <v>2 G COM EFERV EST CART TB PLAS X 10</v>
          </cell>
          <cell r="F78" t="str">
            <v>Comprimido efervescente</v>
          </cell>
          <cell r="G78"/>
          <cell r="H78"/>
          <cell r="I78">
            <v>10</v>
          </cell>
          <cell r="J78"/>
          <cell r="K78" t="str">
            <v>Conformidade</v>
          </cell>
          <cell r="L78">
            <v>2</v>
          </cell>
          <cell r="M78" t="str">
            <v>Tarja Vermelha</v>
          </cell>
          <cell r="N78" t="str">
            <v>Não</v>
          </cell>
          <cell r="O78" t="str">
            <v>Não</v>
          </cell>
          <cell r="P78" t="str">
            <v>Não</v>
          </cell>
          <cell r="Q78" t="str">
            <v>N</v>
          </cell>
          <cell r="R78"/>
          <cell r="S78" t="str">
            <v>Genérico</v>
          </cell>
          <cell r="T78" t="str">
            <v>Monitorado</v>
          </cell>
          <cell r="U78"/>
          <cell r="V78" t="str">
            <v>50-81-7</v>
          </cell>
          <cell r="W78"/>
          <cell r="X78"/>
          <cell r="Y78" t="str">
            <v>G</v>
          </cell>
          <cell r="Z78">
            <v>104</v>
          </cell>
          <cell r="AA78" t="str">
            <v>99 - VITAMINA C PURA</v>
          </cell>
          <cell r="AB78" t="str">
            <v>N</v>
          </cell>
          <cell r="AC78" t="str">
            <v>N</v>
          </cell>
          <cell r="AD78">
            <v>0</v>
          </cell>
          <cell r="AE78" t="str">
            <v>N</v>
          </cell>
          <cell r="AF78">
            <v>0</v>
          </cell>
          <cell r="AG78">
            <v>14</v>
          </cell>
          <cell r="AH78">
            <v>14.98</v>
          </cell>
          <cell r="AI78">
            <v>0</v>
          </cell>
          <cell r="AJ78">
            <v>15.19</v>
          </cell>
          <cell r="AK78">
            <v>15.41</v>
          </cell>
          <cell r="AL78">
            <v>0</v>
          </cell>
          <cell r="AM78">
            <v>13.01</v>
          </cell>
          <cell r="AN78">
            <v>0</v>
          </cell>
          <cell r="AO78">
            <v>18.670000000000002</v>
          </cell>
          <cell r="AP78">
            <v>19.93</v>
          </cell>
          <cell r="AQ78">
            <v>0</v>
          </cell>
          <cell r="AR78">
            <v>20.2</v>
          </cell>
          <cell r="AS78">
            <v>20.48</v>
          </cell>
          <cell r="AT78">
            <v>0</v>
          </cell>
          <cell r="AU78">
            <v>17.98</v>
          </cell>
          <cell r="AV78">
            <v>0</v>
          </cell>
          <cell r="AW78">
            <v>14.44</v>
          </cell>
          <cell r="AX78">
            <v>15.44</v>
          </cell>
          <cell r="AY78">
            <v>15.54</v>
          </cell>
          <cell r="AZ78">
            <v>15.65</v>
          </cell>
          <cell r="BA78">
            <v>15.88</v>
          </cell>
          <cell r="BB78">
            <v>15.88</v>
          </cell>
          <cell r="BC78">
            <v>13.44</v>
          </cell>
          <cell r="BD78">
            <v>0</v>
          </cell>
          <cell r="BE78">
            <v>19.29</v>
          </cell>
          <cell r="BF78">
            <v>20.58</v>
          </cell>
          <cell r="BG78">
            <v>20.71</v>
          </cell>
          <cell r="BH78">
            <v>20.86</v>
          </cell>
          <cell r="BI78">
            <v>21.15</v>
          </cell>
          <cell r="BJ78">
            <v>21.44</v>
          </cell>
          <cell r="BK78">
            <v>18.579999999999998</v>
          </cell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/>
          <cell r="AR79"/>
          <cell r="AS79"/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/>
          <cell r="BG79"/>
          <cell r="BH79"/>
          <cell r="BI79"/>
          <cell r="BJ79"/>
          <cell r="BK79"/>
        </row>
        <row r="80">
          <cell r="A80">
            <v>7891721100048</v>
          </cell>
          <cell r="B80">
            <v>1008900710018</v>
          </cell>
          <cell r="C80">
            <v>525401512131412</v>
          </cell>
          <cell r="D80" t="str">
            <v>CEBION</v>
          </cell>
          <cell r="E80" t="str">
            <v>200 MG/ML SOL OR EST CART FR VD AMB X 30 ML GOTAS</v>
          </cell>
          <cell r="F80" t="str">
            <v>SOLUÇÃO ORAL</v>
          </cell>
          <cell r="G80">
            <v>1</v>
          </cell>
          <cell r="H80" t="str">
            <v>FRASCO</v>
          </cell>
          <cell r="I80">
            <v>30</v>
          </cell>
          <cell r="J80" t="str">
            <v>ML</v>
          </cell>
          <cell r="K80" t="str">
            <v>Conformidade</v>
          </cell>
          <cell r="L80">
            <v>2</v>
          </cell>
          <cell r="M80" t="str">
            <v>Venda Livre</v>
          </cell>
          <cell r="N80" t="str">
            <v>Não</v>
          </cell>
          <cell r="O80" t="str">
            <v>Não</v>
          </cell>
          <cell r="P80" t="str">
            <v>Não</v>
          </cell>
          <cell r="Q80" t="str">
            <v>N</v>
          </cell>
          <cell r="R80"/>
          <cell r="S80" t="str">
            <v>Genérico</v>
          </cell>
          <cell r="T80" t="str">
            <v>Liberado</v>
          </cell>
          <cell r="U80" t="str">
            <v>Resolução Nº 3, de 18 de Março de 2010</v>
          </cell>
          <cell r="V80" t="str">
            <v>50-81-7</v>
          </cell>
          <cell r="W80"/>
          <cell r="X80"/>
          <cell r="Y80" t="str">
            <v>MG/ML</v>
          </cell>
          <cell r="Z80">
            <v>104</v>
          </cell>
          <cell r="AA80" t="str">
            <v>99 - VITAMINA C PURA</v>
          </cell>
          <cell r="AB80" t="str">
            <v>N</v>
          </cell>
          <cell r="AC80" t="str">
            <v>N</v>
          </cell>
          <cell r="AD80">
            <v>0</v>
          </cell>
          <cell r="AE80" t="str">
            <v>N</v>
          </cell>
          <cell r="AF80">
            <v>0</v>
          </cell>
          <cell r="AG80">
            <v>12.01</v>
          </cell>
          <cell r="AH80">
            <v>12.85</v>
          </cell>
          <cell r="AI80">
            <v>0</v>
          </cell>
          <cell r="AJ80">
            <v>13.03</v>
          </cell>
          <cell r="AK80">
            <v>13.22</v>
          </cell>
          <cell r="AL80">
            <v>0</v>
          </cell>
          <cell r="AM80">
            <v>11.16</v>
          </cell>
          <cell r="AN80">
            <v>0</v>
          </cell>
          <cell r="AO80">
            <v>16.02</v>
          </cell>
          <cell r="AP80">
            <v>17.100000000000001</v>
          </cell>
          <cell r="AQ80">
            <v>0</v>
          </cell>
          <cell r="AR80">
            <v>17.329999999999998</v>
          </cell>
          <cell r="AS80">
            <v>17.57</v>
          </cell>
          <cell r="AT80">
            <v>0</v>
          </cell>
          <cell r="AU80">
            <v>15.43</v>
          </cell>
          <cell r="AV80">
            <v>0</v>
          </cell>
          <cell r="AW80">
            <v>12.01</v>
          </cell>
          <cell r="AX80">
            <v>12.84</v>
          </cell>
          <cell r="AY80">
            <v>12.93</v>
          </cell>
          <cell r="AZ80">
            <v>13.02</v>
          </cell>
          <cell r="BA80">
            <v>13.21</v>
          </cell>
          <cell r="BB80">
            <v>13.21</v>
          </cell>
          <cell r="BC80">
            <v>11.18</v>
          </cell>
          <cell r="BD80">
            <v>0</v>
          </cell>
          <cell r="BE80">
            <v>16.04</v>
          </cell>
          <cell r="BF80">
            <v>17.11</v>
          </cell>
          <cell r="BG80">
            <v>17.23</v>
          </cell>
          <cell r="BH80">
            <v>17.350000000000001</v>
          </cell>
          <cell r="BI80">
            <v>17.59</v>
          </cell>
          <cell r="BJ80">
            <v>17.84</v>
          </cell>
          <cell r="BK80">
            <v>15.46</v>
          </cell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</row>
        <row r="82">
          <cell r="A82">
            <v>7891721022128</v>
          </cell>
          <cell r="B82">
            <v>1008900710511</v>
          </cell>
          <cell r="C82">
            <v>525401517117418</v>
          </cell>
          <cell r="D82" t="str">
            <v>CEBION</v>
          </cell>
          <cell r="E82" t="str">
            <v>500 MG COM LIB MOD CT BL AL/AL X 30</v>
          </cell>
          <cell r="F82" t="str">
            <v>COMPRIMIDO DE LIBERAÇÃO MODERADA</v>
          </cell>
          <cell r="G82"/>
          <cell r="H82"/>
          <cell r="I82">
            <v>30</v>
          </cell>
          <cell r="J82"/>
          <cell r="K82" t="str">
            <v>Conformidade</v>
          </cell>
          <cell r="L82">
            <v>2</v>
          </cell>
          <cell r="M82" t="str">
            <v>Venda Livre</v>
          </cell>
          <cell r="N82" t="str">
            <v>Não</v>
          </cell>
          <cell r="O82" t="str">
            <v>Não</v>
          </cell>
          <cell r="P82" t="str">
            <v>Não</v>
          </cell>
          <cell r="Q82" t="str">
            <v>N</v>
          </cell>
          <cell r="R82"/>
          <cell r="S82" t="str">
            <v>Genérico</v>
          </cell>
          <cell r="T82" t="str">
            <v>Liberado</v>
          </cell>
          <cell r="U82" t="str">
            <v>Resolução Nº 3, de 18 de Março de 2010</v>
          </cell>
          <cell r="V82" t="str">
            <v>50-81-7</v>
          </cell>
          <cell r="W82"/>
          <cell r="X82"/>
          <cell r="Y82" t="str">
            <v>MG</v>
          </cell>
          <cell r="Z82">
            <v>104</v>
          </cell>
          <cell r="AA82" t="str">
            <v>99 - VITAMINA C PURA</v>
          </cell>
          <cell r="AB82" t="str">
            <v>N</v>
          </cell>
          <cell r="AC82" t="str">
            <v>N</v>
          </cell>
          <cell r="AD82">
            <v>0</v>
          </cell>
          <cell r="AE82" t="str">
            <v>N</v>
          </cell>
          <cell r="AF82">
            <v>0</v>
          </cell>
          <cell r="AG82">
            <v>20.39</v>
          </cell>
          <cell r="AH82">
            <v>21.81</v>
          </cell>
          <cell r="AI82">
            <v>0</v>
          </cell>
          <cell r="AJ82">
            <v>22.12</v>
          </cell>
          <cell r="AK82">
            <v>22.44</v>
          </cell>
          <cell r="AL82">
            <v>0</v>
          </cell>
          <cell r="AM82">
            <v>18.95</v>
          </cell>
          <cell r="AN82">
            <v>0</v>
          </cell>
          <cell r="AO82">
            <v>27.19</v>
          </cell>
          <cell r="AP82">
            <v>29.02</v>
          </cell>
          <cell r="AQ82">
            <v>0</v>
          </cell>
          <cell r="AR82">
            <v>29.42</v>
          </cell>
          <cell r="AS82">
            <v>29.83</v>
          </cell>
          <cell r="AT82">
            <v>0</v>
          </cell>
          <cell r="AU82">
            <v>26.19</v>
          </cell>
          <cell r="AV82">
            <v>0</v>
          </cell>
          <cell r="AW82">
            <v>20.399999999999999</v>
          </cell>
          <cell r="AX82">
            <v>21.81</v>
          </cell>
          <cell r="AY82">
            <v>21.97</v>
          </cell>
          <cell r="AZ82">
            <v>22.12</v>
          </cell>
          <cell r="BA82">
            <v>22.44</v>
          </cell>
          <cell r="BB82">
            <v>22.44</v>
          </cell>
          <cell r="BC82">
            <v>18.989999999999998</v>
          </cell>
          <cell r="BD82">
            <v>0</v>
          </cell>
          <cell r="BE82">
            <v>27.25</v>
          </cell>
          <cell r="BF82">
            <v>29.07</v>
          </cell>
          <cell r="BG82">
            <v>29.28</v>
          </cell>
          <cell r="BH82">
            <v>29.47</v>
          </cell>
          <cell r="BI82">
            <v>29.88</v>
          </cell>
          <cell r="BJ82">
            <v>30.29</v>
          </cell>
          <cell r="BK82">
            <v>26.25</v>
          </cell>
        </row>
        <row r="83">
          <cell r="A83"/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/>
          <cell r="BI83"/>
          <cell r="BJ83"/>
          <cell r="BK83"/>
        </row>
        <row r="84">
          <cell r="A84">
            <v>7891721100031</v>
          </cell>
          <cell r="B84">
            <v>1008900090010</v>
          </cell>
          <cell r="C84">
            <v>525401601118411</v>
          </cell>
          <cell r="D84" t="str">
            <v>CEBION CALCIO</v>
          </cell>
          <cell r="E84" t="str">
            <v>500 MG + 600 MG COM EFEV EST CART TB PLAS X 10</v>
          </cell>
          <cell r="F84" t="str">
            <v>Comprimido efervescente</v>
          </cell>
          <cell r="G84"/>
          <cell r="H84"/>
          <cell r="I84">
            <v>10</v>
          </cell>
          <cell r="J84"/>
          <cell r="K84" t="str">
            <v>Conformidade</v>
          </cell>
          <cell r="L84">
            <v>3</v>
          </cell>
          <cell r="M84" t="str">
            <v>Venda Livre</v>
          </cell>
          <cell r="N84" t="str">
            <v>Não</v>
          </cell>
          <cell r="O84" t="str">
            <v>Não</v>
          </cell>
          <cell r="P84" t="str">
            <v>Não</v>
          </cell>
          <cell r="Q84" t="str">
            <v>N</v>
          </cell>
          <cell r="R84"/>
          <cell r="S84" t="str">
            <v>Genérico</v>
          </cell>
          <cell r="T84" t="str">
            <v>Monitorado</v>
          </cell>
          <cell r="U84"/>
          <cell r="V84" t="str">
            <v>471-34-1,50-81-7</v>
          </cell>
          <cell r="W84"/>
          <cell r="X84"/>
          <cell r="Y84" t="str">
            <v>MG</v>
          </cell>
          <cell r="Z84">
            <v>1748.0010400000001</v>
          </cell>
          <cell r="AA84" t="str">
            <v>100 - ASSOCIAÇÕES COM VITAMINA C</v>
          </cell>
          <cell r="AB84" t="str">
            <v>N</v>
          </cell>
          <cell r="AC84" t="str">
            <v>N</v>
          </cell>
          <cell r="AD84">
            <v>0</v>
          </cell>
          <cell r="AE84" t="str">
            <v>N</v>
          </cell>
          <cell r="AF84">
            <v>0</v>
          </cell>
          <cell r="AG84">
            <v>12</v>
          </cell>
          <cell r="AH84">
            <v>12.84</v>
          </cell>
          <cell r="AI84">
            <v>0</v>
          </cell>
          <cell r="AJ84">
            <v>13.02</v>
          </cell>
          <cell r="AK84">
            <v>13.2</v>
          </cell>
          <cell r="AL84">
            <v>0</v>
          </cell>
          <cell r="AM84">
            <v>11.17</v>
          </cell>
          <cell r="AN84">
            <v>0</v>
          </cell>
          <cell r="AO84">
            <v>16.03</v>
          </cell>
          <cell r="AP84">
            <v>17.11</v>
          </cell>
          <cell r="AQ84">
            <v>0</v>
          </cell>
          <cell r="AR84">
            <v>17.34</v>
          </cell>
          <cell r="AS84">
            <v>17.579999999999998</v>
          </cell>
          <cell r="AT84">
            <v>0</v>
          </cell>
          <cell r="AU84">
            <v>15.44</v>
          </cell>
          <cell r="AV84">
            <v>0</v>
          </cell>
          <cell r="AW84">
            <v>12.17</v>
          </cell>
          <cell r="AX84">
            <v>13.01</v>
          </cell>
          <cell r="AY84">
            <v>13.1</v>
          </cell>
          <cell r="AZ84">
            <v>13.2</v>
          </cell>
          <cell r="BA84">
            <v>13.38</v>
          </cell>
          <cell r="BB84">
            <v>13.38</v>
          </cell>
          <cell r="BC84">
            <v>11.33</v>
          </cell>
          <cell r="BD84">
            <v>0</v>
          </cell>
          <cell r="BE84">
            <v>16.260000000000002</v>
          </cell>
          <cell r="BF84">
            <v>17.34</v>
          </cell>
          <cell r="BG84">
            <v>17.46</v>
          </cell>
          <cell r="BH84">
            <v>17.579999999999998</v>
          </cell>
          <cell r="BI84">
            <v>17.82</v>
          </cell>
          <cell r="BJ84">
            <v>18.079999999999998</v>
          </cell>
          <cell r="BK84">
            <v>15.66</v>
          </cell>
        </row>
        <row r="85">
          <cell r="A85"/>
          <cell r="B85"/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  <cell r="AR85"/>
          <cell r="AS85"/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/>
          <cell r="BG85"/>
          <cell r="BH85"/>
          <cell r="BI85"/>
          <cell r="BJ85"/>
          <cell r="BK85"/>
        </row>
        <row r="86">
          <cell r="A86">
            <v>7891721100055</v>
          </cell>
          <cell r="B86">
            <v>1008900100101</v>
          </cell>
          <cell r="C86">
            <v>525401701139410</v>
          </cell>
          <cell r="D86" t="str">
            <v>CEBION GLICOSE</v>
          </cell>
          <cell r="E86" t="str">
            <v>100 MG + 500 MG GRAN CT CART 10 ENV AL POLIET X 10</v>
          </cell>
          <cell r="F86" t="str">
            <v>Granulado</v>
          </cell>
          <cell r="G86">
            <v>10</v>
          </cell>
          <cell r="H86" t="str">
            <v>ENVELOPE</v>
          </cell>
          <cell r="I86">
            <v>10</v>
          </cell>
          <cell r="J86" t="str">
            <v>SACHE</v>
          </cell>
          <cell r="K86" t="str">
            <v>Conformidade</v>
          </cell>
          <cell r="L86">
            <v>3</v>
          </cell>
          <cell r="M86" t="str">
            <v>Venda Livre</v>
          </cell>
          <cell r="N86" t="str">
            <v>Não</v>
          </cell>
          <cell r="O86" t="str">
            <v>Não</v>
          </cell>
          <cell r="P86" t="str">
            <v>Não</v>
          </cell>
          <cell r="Q86" t="str">
            <v>N</v>
          </cell>
          <cell r="R86"/>
          <cell r="S86" t="str">
            <v>Genérico</v>
          </cell>
          <cell r="T86" t="str">
            <v>Liberado</v>
          </cell>
          <cell r="U86" t="str">
            <v>Resolução Nº 3, de 18 de Março de 2010</v>
          </cell>
          <cell r="V86" t="str">
            <v>50-99-7,50-81-7</v>
          </cell>
          <cell r="W86"/>
          <cell r="X86"/>
          <cell r="Y86" t="str">
            <v>MG</v>
          </cell>
          <cell r="Z86">
            <v>4485.0010400000001</v>
          </cell>
          <cell r="AA86" t="str">
            <v>100 - ASSOCIAÇÕES COM VITAMINA C</v>
          </cell>
          <cell r="AB86" t="str">
            <v>N</v>
          </cell>
          <cell r="AC86" t="str">
            <v>N</v>
          </cell>
          <cell r="AD86">
            <v>0</v>
          </cell>
          <cell r="AE86" t="str">
            <v>N</v>
          </cell>
          <cell r="AF86">
            <v>0</v>
          </cell>
          <cell r="AG86">
            <v>17.55</v>
          </cell>
          <cell r="AH86">
            <v>18.77</v>
          </cell>
          <cell r="AI86">
            <v>0</v>
          </cell>
          <cell r="AJ86">
            <v>19.04</v>
          </cell>
          <cell r="AK86">
            <v>19.309999999999999</v>
          </cell>
          <cell r="AL86">
            <v>0</v>
          </cell>
          <cell r="AM86">
            <v>16.309999999999999</v>
          </cell>
          <cell r="AN86">
            <v>0</v>
          </cell>
          <cell r="AO86">
            <v>23.4</v>
          </cell>
          <cell r="AP86">
            <v>24.98</v>
          </cell>
          <cell r="AQ86">
            <v>0</v>
          </cell>
          <cell r="AR86">
            <v>25.32</v>
          </cell>
          <cell r="AS86">
            <v>25.67</v>
          </cell>
          <cell r="AT86">
            <v>0</v>
          </cell>
          <cell r="AU86">
            <v>22.54</v>
          </cell>
          <cell r="AV86">
            <v>0</v>
          </cell>
          <cell r="AW86">
            <v>0.92</v>
          </cell>
          <cell r="AX86">
            <v>0.99</v>
          </cell>
          <cell r="AY86">
            <v>0.99</v>
          </cell>
          <cell r="AZ86">
            <v>1</v>
          </cell>
          <cell r="BA86">
            <v>1.01</v>
          </cell>
          <cell r="BB86">
            <v>1.01</v>
          </cell>
          <cell r="BC86">
            <v>0.86</v>
          </cell>
          <cell r="BD86">
            <v>0</v>
          </cell>
          <cell r="BE86">
            <v>1.23</v>
          </cell>
          <cell r="BF86">
            <v>1.32</v>
          </cell>
          <cell r="BG86">
            <v>1.32</v>
          </cell>
          <cell r="BH86">
            <v>1.33</v>
          </cell>
          <cell r="BI86">
            <v>1.34</v>
          </cell>
          <cell r="BJ86">
            <v>1.37</v>
          </cell>
          <cell r="BK86">
            <v>1.19</v>
          </cell>
        </row>
        <row r="87">
          <cell r="A87">
            <v>7891721100130</v>
          </cell>
          <cell r="B87">
            <v>1008900100118</v>
          </cell>
          <cell r="C87">
            <v>525401702119413</v>
          </cell>
          <cell r="D87" t="str">
            <v>CEBION GLICOSE</v>
          </cell>
          <cell r="E87" t="str">
            <v>100 MG + 500 MG GRAN CT CART 50 ENV AL POLIET X 10</v>
          </cell>
          <cell r="F87" t="str">
            <v>Granulado</v>
          </cell>
          <cell r="G87">
            <v>50</v>
          </cell>
          <cell r="H87" t="str">
            <v>ENVELOPE</v>
          </cell>
          <cell r="I87">
            <v>10</v>
          </cell>
          <cell r="J87" t="str">
            <v>SACHE</v>
          </cell>
          <cell r="K87" t="str">
            <v>Conformidade</v>
          </cell>
          <cell r="L87">
            <v>3</v>
          </cell>
          <cell r="M87" t="str">
            <v>Venda Livre</v>
          </cell>
          <cell r="N87" t="str">
            <v>Não</v>
          </cell>
          <cell r="O87" t="str">
            <v>Não</v>
          </cell>
          <cell r="P87" t="str">
            <v>Não</v>
          </cell>
          <cell r="Q87" t="str">
            <v>N</v>
          </cell>
          <cell r="R87"/>
          <cell r="S87" t="str">
            <v>Genérico</v>
          </cell>
          <cell r="T87" t="str">
            <v>Liberado</v>
          </cell>
          <cell r="U87" t="str">
            <v>Resolução Nº 3, de 18 de Março de 2010</v>
          </cell>
          <cell r="V87" t="str">
            <v>50-99-7,50-81-7</v>
          </cell>
          <cell r="W87"/>
          <cell r="X87"/>
          <cell r="Y87" t="str">
            <v>MG</v>
          </cell>
          <cell r="Z87">
            <v>4485.0010400000001</v>
          </cell>
          <cell r="AA87" t="str">
            <v>100 - ASSOCIAÇÕES COM VITAMINA C</v>
          </cell>
          <cell r="AB87" t="str">
            <v>N</v>
          </cell>
          <cell r="AC87" t="str">
            <v>N</v>
          </cell>
          <cell r="AD87">
            <v>0</v>
          </cell>
          <cell r="AE87" t="str">
            <v>N</v>
          </cell>
          <cell r="AF87">
            <v>0</v>
          </cell>
          <cell r="AG87">
            <v>85.77</v>
          </cell>
          <cell r="AH87">
            <v>91.76</v>
          </cell>
          <cell r="AI87">
            <v>0</v>
          </cell>
          <cell r="AJ87">
            <v>93.06</v>
          </cell>
          <cell r="AK87">
            <v>94.4</v>
          </cell>
          <cell r="AL87">
            <v>0</v>
          </cell>
          <cell r="AM87">
            <v>79.709999999999994</v>
          </cell>
          <cell r="AN87">
            <v>0</v>
          </cell>
          <cell r="AO87">
            <v>114.38</v>
          </cell>
          <cell r="AP87">
            <v>122.1</v>
          </cell>
          <cell r="AQ87">
            <v>0</v>
          </cell>
          <cell r="AR87">
            <v>123.77</v>
          </cell>
          <cell r="AS87">
            <v>125.48</v>
          </cell>
          <cell r="AT87">
            <v>0</v>
          </cell>
          <cell r="AU87">
            <v>110.18</v>
          </cell>
          <cell r="AV87">
            <v>0</v>
          </cell>
          <cell r="AW87">
            <v>0.92</v>
          </cell>
          <cell r="AX87">
            <v>0.99</v>
          </cell>
          <cell r="AY87">
            <v>0.99</v>
          </cell>
          <cell r="AZ87">
            <v>1</v>
          </cell>
          <cell r="BA87">
            <v>1.01</v>
          </cell>
          <cell r="BB87">
            <v>1.01</v>
          </cell>
          <cell r="BC87">
            <v>0.86</v>
          </cell>
          <cell r="BD87">
            <v>0</v>
          </cell>
          <cell r="BE87">
            <v>1.23</v>
          </cell>
          <cell r="BF87">
            <v>1.32</v>
          </cell>
          <cell r="BG87">
            <v>1.32</v>
          </cell>
          <cell r="BH87">
            <v>1.33</v>
          </cell>
          <cell r="BI87">
            <v>1.34</v>
          </cell>
          <cell r="BJ87">
            <v>1.37</v>
          </cell>
          <cell r="BK87">
            <v>1.19</v>
          </cell>
        </row>
        <row r="88">
          <cell r="A88">
            <v>7891721104848</v>
          </cell>
          <cell r="B88">
            <v>1008903320011</v>
          </cell>
          <cell r="C88">
            <v>525418901111417</v>
          </cell>
          <cell r="D88" t="str">
            <v>CEBION ZINCO</v>
          </cell>
          <cell r="E88" t="str">
            <v>1000 MG + 10 MG COM EFEV CT TB PLAS X 10</v>
          </cell>
          <cell r="F88" t="str">
            <v>Comprimido efervescente</v>
          </cell>
          <cell r="G88"/>
          <cell r="H88"/>
          <cell r="I88">
            <v>10</v>
          </cell>
          <cell r="J88"/>
          <cell r="K88" t="str">
            <v>Conformidade</v>
          </cell>
          <cell r="L88">
            <v>2</v>
          </cell>
          <cell r="M88" t="str">
            <v>Venda Livre</v>
          </cell>
          <cell r="N88" t="str">
            <v>Não</v>
          </cell>
          <cell r="O88" t="str">
            <v>Não</v>
          </cell>
          <cell r="P88" t="str">
            <v>Não</v>
          </cell>
          <cell r="Q88" t="str">
            <v>N</v>
          </cell>
          <cell r="R88"/>
          <cell r="S88" t="str">
            <v>Genérico</v>
          </cell>
          <cell r="T88" t="str">
            <v>Liberado</v>
          </cell>
          <cell r="U88" t="str">
            <v>Resolução Nº 3, de 18 de Março de 2010</v>
          </cell>
          <cell r="V88" t="str">
            <v>50-81-7</v>
          </cell>
          <cell r="W88"/>
          <cell r="X88"/>
          <cell r="Y88" t="str">
            <v>MG</v>
          </cell>
          <cell r="Z88">
            <v>104</v>
          </cell>
          <cell r="AA88" t="str">
            <v>99 - VITAMINA C PURA</v>
          </cell>
          <cell r="AB88" t="str">
            <v>N</v>
          </cell>
          <cell r="AC88" t="str">
            <v>N</v>
          </cell>
          <cell r="AD88">
            <v>0</v>
          </cell>
          <cell r="AE88" t="str">
            <v>N</v>
          </cell>
          <cell r="AF88">
            <v>0</v>
          </cell>
          <cell r="AG88">
            <v>12.43</v>
          </cell>
          <cell r="AH88">
            <v>13.29</v>
          </cell>
          <cell r="AI88">
            <v>0</v>
          </cell>
          <cell r="AJ88">
            <v>13.48</v>
          </cell>
          <cell r="AK88">
            <v>13.67</v>
          </cell>
          <cell r="AL88">
            <v>0</v>
          </cell>
          <cell r="AM88">
            <v>11.57</v>
          </cell>
          <cell r="AN88">
            <v>0</v>
          </cell>
          <cell r="AO88">
            <v>16.600000000000001</v>
          </cell>
          <cell r="AP88">
            <v>17.71</v>
          </cell>
          <cell r="AQ88">
            <v>0</v>
          </cell>
          <cell r="AR88">
            <v>17.96</v>
          </cell>
          <cell r="AS88">
            <v>18.2</v>
          </cell>
          <cell r="AT88">
            <v>0</v>
          </cell>
          <cell r="AU88">
            <v>15.99</v>
          </cell>
          <cell r="AV88">
            <v>0</v>
          </cell>
          <cell r="AW88">
            <v>0.92</v>
          </cell>
          <cell r="AX88">
            <v>0.99</v>
          </cell>
          <cell r="AY88">
            <v>0.99</v>
          </cell>
          <cell r="AZ88">
            <v>1</v>
          </cell>
          <cell r="BA88">
            <v>1.01</v>
          </cell>
          <cell r="BB88">
            <v>1.01</v>
          </cell>
          <cell r="BC88">
            <v>0.86</v>
          </cell>
          <cell r="BD88">
            <v>0</v>
          </cell>
          <cell r="BE88">
            <v>1.23</v>
          </cell>
          <cell r="BF88">
            <v>1.32</v>
          </cell>
          <cell r="BG88">
            <v>1.32</v>
          </cell>
          <cell r="BH88">
            <v>1.33</v>
          </cell>
          <cell r="BI88">
            <v>1.34</v>
          </cell>
          <cell r="BJ88">
            <v>1.37</v>
          </cell>
          <cell r="BK88">
            <v>1.19</v>
          </cell>
        </row>
        <row r="89">
          <cell r="A89">
            <v>7891721013553</v>
          </cell>
          <cell r="B89">
            <v>1008903450020</v>
          </cell>
          <cell r="C89">
            <v>525420001112419</v>
          </cell>
          <cell r="D89" t="str">
            <v>CELAPRAM</v>
          </cell>
          <cell r="E89" t="str">
            <v>20 MG COM REV CT BL AL PLAS INC X 30</v>
          </cell>
          <cell r="F89" t="str">
            <v>Comprimido revestido</v>
          </cell>
          <cell r="G89"/>
          <cell r="H89"/>
          <cell r="I89">
            <v>30</v>
          </cell>
          <cell r="J89"/>
          <cell r="K89" t="str">
            <v>Conformidade</v>
          </cell>
          <cell r="L89">
            <v>1</v>
          </cell>
          <cell r="M89" t="str">
            <v>Tarja Vermelha</v>
          </cell>
          <cell r="N89" t="str">
            <v>Não</v>
          </cell>
          <cell r="O89" t="str">
            <v>Não</v>
          </cell>
          <cell r="P89" t="str">
            <v>Não</v>
          </cell>
          <cell r="Q89" t="str">
            <v>I</v>
          </cell>
          <cell r="R89"/>
          <cell r="S89" t="str">
            <v>Similar</v>
          </cell>
          <cell r="T89" t="str">
            <v>Monitorado</v>
          </cell>
          <cell r="U89"/>
          <cell r="V89" t="str">
            <v>59729-32-7</v>
          </cell>
          <cell r="W89"/>
          <cell r="X89"/>
          <cell r="Y89" t="str">
            <v>MG</v>
          </cell>
          <cell r="Z89">
            <v>2162</v>
          </cell>
          <cell r="AA89" t="str">
            <v>504 - ANTI-DEPRESSIVOS SSRI</v>
          </cell>
          <cell r="AB89" t="str">
            <v>N</v>
          </cell>
          <cell r="AC89" t="str">
            <v>N</v>
          </cell>
          <cell r="AD89">
            <v>0</v>
          </cell>
          <cell r="AE89" t="str">
            <v>S</v>
          </cell>
          <cell r="AF89">
            <v>0</v>
          </cell>
          <cell r="AG89">
            <v>66.36</v>
          </cell>
          <cell r="AH89">
            <v>70.36</v>
          </cell>
          <cell r="AI89">
            <v>0</v>
          </cell>
          <cell r="AJ89">
            <v>71.209999999999994</v>
          </cell>
          <cell r="AK89">
            <v>72.09</v>
          </cell>
          <cell r="AL89">
            <v>0</v>
          </cell>
          <cell r="AM89">
            <v>70.36</v>
          </cell>
          <cell r="AN89">
            <v>0</v>
          </cell>
          <cell r="AO89">
            <v>91.74</v>
          </cell>
          <cell r="AP89">
            <v>97.27</v>
          </cell>
          <cell r="AQ89">
            <v>0</v>
          </cell>
          <cell r="AR89">
            <v>98.45</v>
          </cell>
          <cell r="AS89">
            <v>99.66</v>
          </cell>
          <cell r="AT89">
            <v>0</v>
          </cell>
          <cell r="AU89">
            <v>97.27</v>
          </cell>
          <cell r="AV89">
            <v>0</v>
          </cell>
          <cell r="AW89">
            <v>69.510000000000005</v>
          </cell>
          <cell r="AX89">
            <v>73.7</v>
          </cell>
          <cell r="AY89">
            <v>74.150000000000006</v>
          </cell>
          <cell r="AZ89">
            <v>74.599999999999994</v>
          </cell>
          <cell r="BA89">
            <v>75.52</v>
          </cell>
          <cell r="BB89">
            <v>75.52</v>
          </cell>
          <cell r="BC89">
            <v>73.7</v>
          </cell>
          <cell r="BD89">
            <v>0</v>
          </cell>
          <cell r="BE89">
            <v>96.09</v>
          </cell>
          <cell r="BF89">
            <v>101.89</v>
          </cell>
          <cell r="BG89">
            <v>102.51</v>
          </cell>
          <cell r="BH89">
            <v>103.13</v>
          </cell>
          <cell r="BI89">
            <v>104.4</v>
          </cell>
          <cell r="BJ89">
            <v>105.7</v>
          </cell>
          <cell r="BK89">
            <v>101.89</v>
          </cell>
        </row>
        <row r="90">
          <cell r="A90">
            <v>7891721013447</v>
          </cell>
          <cell r="B90">
            <v>1008900120089</v>
          </cell>
          <cell r="C90">
            <v>525401902118313</v>
          </cell>
          <cell r="D90" t="str">
            <v>CESTOX</v>
          </cell>
          <cell r="E90" t="str">
            <v>150 MG COM EST CAT BL AL PVC X 12</v>
          </cell>
          <cell r="F90" t="str">
            <v>Comprimido</v>
          </cell>
          <cell r="G90"/>
          <cell r="H90"/>
          <cell r="I90">
            <v>12</v>
          </cell>
          <cell r="J90"/>
          <cell r="K90" t="str">
            <v>Conformidade</v>
          </cell>
          <cell r="L90">
            <v>1</v>
          </cell>
          <cell r="M90" t="str">
            <v>Tarja Vermelha</v>
          </cell>
          <cell r="N90" t="str">
            <v>Não</v>
          </cell>
          <cell r="O90" t="str">
            <v>Não</v>
          </cell>
          <cell r="P90" t="str">
            <v>Não</v>
          </cell>
          <cell r="Q90" t="str">
            <v>I</v>
          </cell>
          <cell r="R90"/>
          <cell r="S90" t="str">
            <v>Similar</v>
          </cell>
          <cell r="T90" t="str">
            <v>Monitorado</v>
          </cell>
          <cell r="U90"/>
          <cell r="V90" t="str">
            <v>55268-74-1</v>
          </cell>
          <cell r="W90"/>
          <cell r="X90"/>
          <cell r="Y90" t="str">
            <v>MG</v>
          </cell>
          <cell r="Z90">
            <v>7321</v>
          </cell>
          <cell r="AA90" t="str">
            <v>520 - ANTI-HELMÍNTICOS EXCETO ESQUISTOSSOMICIDAS (P1C)</v>
          </cell>
          <cell r="AB90" t="str">
            <v>N</v>
          </cell>
          <cell r="AC90" t="str">
            <v>N</v>
          </cell>
          <cell r="AD90">
            <v>0</v>
          </cell>
          <cell r="AE90" t="str">
            <v>N</v>
          </cell>
          <cell r="AF90">
            <v>0</v>
          </cell>
          <cell r="AG90">
            <v>41.24</v>
          </cell>
          <cell r="AH90">
            <v>43.72</v>
          </cell>
          <cell r="AI90">
            <v>0</v>
          </cell>
          <cell r="AJ90">
            <v>44.26</v>
          </cell>
          <cell r="AK90">
            <v>44.8</v>
          </cell>
          <cell r="AL90">
            <v>0</v>
          </cell>
          <cell r="AM90">
            <v>43.72</v>
          </cell>
          <cell r="AN90">
            <v>0</v>
          </cell>
          <cell r="AO90">
            <v>57.01</v>
          </cell>
          <cell r="AP90">
            <v>60.44</v>
          </cell>
          <cell r="AQ90">
            <v>0</v>
          </cell>
          <cell r="AR90">
            <v>61.18</v>
          </cell>
          <cell r="AS90">
            <v>61.93</v>
          </cell>
          <cell r="AT90">
            <v>0</v>
          </cell>
          <cell r="AU90">
            <v>60.44</v>
          </cell>
          <cell r="AV90">
            <v>0</v>
          </cell>
          <cell r="AW90">
            <v>43.2</v>
          </cell>
          <cell r="AX90">
            <v>45.81</v>
          </cell>
          <cell r="AY90">
            <v>46.08</v>
          </cell>
          <cell r="AZ90">
            <v>46.37</v>
          </cell>
          <cell r="BA90">
            <v>46.94</v>
          </cell>
          <cell r="BB90">
            <v>46.94</v>
          </cell>
          <cell r="BC90">
            <v>45.81</v>
          </cell>
          <cell r="BD90">
            <v>0</v>
          </cell>
          <cell r="BE90">
            <v>59.72</v>
          </cell>
          <cell r="BF90">
            <v>63.33</v>
          </cell>
          <cell r="BG90">
            <v>63.7</v>
          </cell>
          <cell r="BH90">
            <v>64.099999999999994</v>
          </cell>
          <cell r="BI90">
            <v>64.89</v>
          </cell>
          <cell r="BJ90">
            <v>65.709999999999994</v>
          </cell>
          <cell r="BK90">
            <v>63.33</v>
          </cell>
        </row>
        <row r="91">
          <cell r="A91">
            <v>7891721022548</v>
          </cell>
          <cell r="B91">
            <v>1008903690013</v>
          </cell>
          <cell r="C91">
            <v>525421701150311</v>
          </cell>
          <cell r="D91" t="str">
            <v>CETROTIDE</v>
          </cell>
          <cell r="E91" t="str">
            <v>0,25 MG PO LIOF INJ CT FA VD INC + 1 SER DIL + 2 AGULHAS + 2 TOALHAS</v>
          </cell>
          <cell r="F91" t="str">
            <v>PÓ LIOFILIZADO INJETÁVEL</v>
          </cell>
          <cell r="G91">
            <v>1</v>
          </cell>
          <cell r="H91" t="str">
            <v>SERINGA</v>
          </cell>
          <cell r="I91"/>
          <cell r="J91"/>
          <cell r="K91" t="str">
            <v>Conformidade</v>
          </cell>
          <cell r="L91">
            <v>3</v>
          </cell>
          <cell r="M91" t="str">
            <v>Tarja Vermelha</v>
          </cell>
          <cell r="N91" t="str">
            <v>Não</v>
          </cell>
          <cell r="O91" t="str">
            <v>Não</v>
          </cell>
          <cell r="P91" t="str">
            <v>Não</v>
          </cell>
          <cell r="Q91" t="str">
            <v>I</v>
          </cell>
          <cell r="R91"/>
          <cell r="S91" t="str">
            <v>Similar</v>
          </cell>
          <cell r="T91" t="str">
            <v>Monitorado</v>
          </cell>
          <cell r="U91"/>
          <cell r="V91" t="str">
            <v>145672-81-7</v>
          </cell>
          <cell r="W91"/>
          <cell r="X91"/>
          <cell r="Y91" t="str">
            <v>MG</v>
          </cell>
          <cell r="Z91">
            <v>57</v>
          </cell>
          <cell r="AA91" t="str">
            <v>292 - HORMÔNIOS DE LIBERAÇÃO ANTIGONADOTROFINA</v>
          </cell>
          <cell r="AB91" t="str">
            <v>N</v>
          </cell>
          <cell r="AC91" t="str">
            <v>N</v>
          </cell>
          <cell r="AD91">
            <v>0</v>
          </cell>
          <cell r="AE91" t="str">
            <v>N</v>
          </cell>
          <cell r="AF91">
            <v>0</v>
          </cell>
          <cell r="AG91">
            <v>200.81</v>
          </cell>
          <cell r="AH91">
            <v>212.91</v>
          </cell>
          <cell r="AI91">
            <v>0</v>
          </cell>
          <cell r="AJ91">
            <v>215.51</v>
          </cell>
          <cell r="AK91">
            <v>218.17</v>
          </cell>
          <cell r="AL91">
            <v>0</v>
          </cell>
          <cell r="AM91">
            <v>212.91</v>
          </cell>
          <cell r="AN91">
            <v>0</v>
          </cell>
          <cell r="AO91">
            <v>277.61</v>
          </cell>
          <cell r="AP91">
            <v>294.33999999999997</v>
          </cell>
          <cell r="AQ91">
            <v>0</v>
          </cell>
          <cell r="AR91">
            <v>297.92</v>
          </cell>
          <cell r="AS91">
            <v>301.61</v>
          </cell>
          <cell r="AT91">
            <v>0</v>
          </cell>
          <cell r="AU91">
            <v>294.33999999999997</v>
          </cell>
          <cell r="AV91">
            <v>0</v>
          </cell>
          <cell r="AW91">
            <v>203.55</v>
          </cell>
          <cell r="AX91">
            <v>215.81</v>
          </cell>
          <cell r="AY91">
            <v>217.12</v>
          </cell>
          <cell r="AZ91">
            <v>218.44</v>
          </cell>
          <cell r="BA91">
            <v>221.14</v>
          </cell>
          <cell r="BB91">
            <v>221.14</v>
          </cell>
          <cell r="BC91">
            <v>215.81</v>
          </cell>
          <cell r="BD91">
            <v>0</v>
          </cell>
          <cell r="BE91">
            <v>281.39999999999998</v>
          </cell>
          <cell r="BF91">
            <v>298.33999999999997</v>
          </cell>
          <cell r="BG91">
            <v>300.16000000000003</v>
          </cell>
          <cell r="BH91">
            <v>301.98</v>
          </cell>
          <cell r="BI91">
            <v>305.70999999999998</v>
          </cell>
          <cell r="BJ91">
            <v>309.52999999999997</v>
          </cell>
          <cell r="BK91">
            <v>298.33999999999997</v>
          </cell>
        </row>
        <row r="92">
          <cell r="A92"/>
          <cell r="B92"/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</row>
        <row r="95">
          <cell r="A95">
            <v>7891721027253</v>
          </cell>
          <cell r="B95">
            <v>1008900720086</v>
          </cell>
          <cell r="C95">
            <v>525402002110411</v>
          </cell>
          <cell r="D95" t="str">
            <v>CISTICID</v>
          </cell>
          <cell r="E95" t="str">
            <v>500 MG COM EST CART FR PLAS OPC X 50 (EMB. HOSP.)</v>
          </cell>
          <cell r="F95" t="str">
            <v>Comprimido</v>
          </cell>
          <cell r="G95"/>
          <cell r="H95"/>
          <cell r="I95">
            <v>50</v>
          </cell>
          <cell r="J95"/>
          <cell r="K95" t="str">
            <v>Conformidade</v>
          </cell>
          <cell r="L95">
            <v>1</v>
          </cell>
          <cell r="M95" t="str">
            <v>Tarja Vermelha</v>
          </cell>
          <cell r="N95" t="str">
            <v>Sim</v>
          </cell>
          <cell r="O95" t="str">
            <v>Não</v>
          </cell>
          <cell r="P95" t="str">
            <v>Não</v>
          </cell>
          <cell r="Q95" t="str">
            <v>I</v>
          </cell>
          <cell r="R95"/>
          <cell r="S95" t="str">
            <v>Similar</v>
          </cell>
          <cell r="T95" t="str">
            <v>Monitorado</v>
          </cell>
          <cell r="U95"/>
          <cell r="V95" t="str">
            <v>55268-74-1</v>
          </cell>
          <cell r="W95"/>
          <cell r="X95"/>
          <cell r="Y95" t="str">
            <v>MG</v>
          </cell>
          <cell r="Z95">
            <v>7321</v>
          </cell>
          <cell r="AA95" t="str">
            <v>520 - ANTI-HELMÍNTICOS EXCETO ESQUISTOSSOMICIDAS (P1C)</v>
          </cell>
          <cell r="AB95" t="str">
            <v>N</v>
          </cell>
          <cell r="AC95" t="str">
            <v>N</v>
          </cell>
          <cell r="AD95">
            <v>0</v>
          </cell>
          <cell r="AE95" t="str">
            <v>N</v>
          </cell>
          <cell r="AF95">
            <v>0</v>
          </cell>
          <cell r="AG95">
            <v>502.42</v>
          </cell>
          <cell r="AH95">
            <v>532.67999999999995</v>
          </cell>
          <cell r="AI95">
            <v>0</v>
          </cell>
          <cell r="AJ95">
            <v>539.17999999999995</v>
          </cell>
          <cell r="AK95">
            <v>545.84</v>
          </cell>
          <cell r="AL95">
            <v>0</v>
          </cell>
          <cell r="AM95">
            <v>532.67999999999995</v>
          </cell>
          <cell r="AN95">
            <v>0</v>
          </cell>
          <cell r="AO95">
            <v>694.57</v>
          </cell>
          <cell r="AP95">
            <v>736.4</v>
          </cell>
          <cell r="AQ95">
            <v>0</v>
          </cell>
          <cell r="AR95">
            <v>745.38</v>
          </cell>
          <cell r="AS95">
            <v>754.59</v>
          </cell>
          <cell r="AT95">
            <v>0</v>
          </cell>
          <cell r="AU95">
            <v>736.4</v>
          </cell>
          <cell r="AV95">
            <v>0</v>
          </cell>
          <cell r="AW95">
            <v>526.33000000000004</v>
          </cell>
          <cell r="AX95">
            <v>558.04</v>
          </cell>
          <cell r="AY95">
            <v>561.41999999999996</v>
          </cell>
          <cell r="AZ95">
            <v>564.84</v>
          </cell>
          <cell r="BA95">
            <v>571.82000000000005</v>
          </cell>
          <cell r="BB95">
            <v>571.82000000000005</v>
          </cell>
          <cell r="BC95">
            <v>558.04</v>
          </cell>
          <cell r="BD95">
            <v>0</v>
          </cell>
          <cell r="BE95">
            <v>727.62</v>
          </cell>
          <cell r="BF95">
            <v>771.46</v>
          </cell>
          <cell r="BG95">
            <v>776.13</v>
          </cell>
          <cell r="BH95">
            <v>780.86</v>
          </cell>
          <cell r="BI95">
            <v>790.51</v>
          </cell>
          <cell r="BJ95">
            <v>800.39</v>
          </cell>
          <cell r="BK95">
            <v>771.46</v>
          </cell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/>
          <cell r="BH96"/>
          <cell r="BI96"/>
          <cell r="BJ96"/>
          <cell r="BK96"/>
        </row>
        <row r="97">
          <cell r="A97">
            <v>7891721274107</v>
          </cell>
          <cell r="B97">
            <v>1008902970047</v>
          </cell>
          <cell r="C97">
            <v>525402101119115</v>
          </cell>
          <cell r="D97" t="str">
            <v>CITALOPRAM</v>
          </cell>
          <cell r="E97" t="str">
            <v>20 MG COM REV CT BL AL PLAS INC X 30</v>
          </cell>
          <cell r="F97" t="str">
            <v>Comprimido revestido</v>
          </cell>
          <cell r="G97"/>
          <cell r="H97"/>
          <cell r="I97">
            <v>30</v>
          </cell>
          <cell r="J97"/>
          <cell r="K97" t="str">
            <v>Conformidade</v>
          </cell>
          <cell r="L97">
            <v>1</v>
          </cell>
          <cell r="M97" t="str">
            <v>Tarja Vermelha</v>
          </cell>
          <cell r="N97" t="str">
            <v>Não</v>
          </cell>
          <cell r="O97" t="str">
            <v>Não</v>
          </cell>
          <cell r="P97" t="str">
            <v>Não</v>
          </cell>
          <cell r="Q97" t="str">
            <v>I</v>
          </cell>
          <cell r="R97"/>
          <cell r="S97" t="str">
            <v>Genérico</v>
          </cell>
          <cell r="T97" t="str">
            <v>Monitorado</v>
          </cell>
          <cell r="U97"/>
          <cell r="V97" t="str">
            <v>59729-33-8</v>
          </cell>
          <cell r="W97"/>
          <cell r="X97"/>
          <cell r="Y97" t="str">
            <v>MG</v>
          </cell>
          <cell r="Z97">
            <v>2161</v>
          </cell>
          <cell r="AA97" t="str">
            <v>504 - ANTI-DEPRESSIVOS SSRI</v>
          </cell>
          <cell r="AB97" t="str">
            <v>N</v>
          </cell>
          <cell r="AC97" t="str">
            <v>N</v>
          </cell>
          <cell r="AD97">
            <v>0</v>
          </cell>
          <cell r="AE97" t="str">
            <v>N</v>
          </cell>
          <cell r="AF97">
            <v>0</v>
          </cell>
          <cell r="AG97">
            <v>81.38</v>
          </cell>
          <cell r="AH97">
            <v>86.28</v>
          </cell>
          <cell r="AI97">
            <v>0</v>
          </cell>
          <cell r="AJ97">
            <v>87.33</v>
          </cell>
          <cell r="AK97">
            <v>88.41</v>
          </cell>
          <cell r="AL97">
            <v>0</v>
          </cell>
          <cell r="AM97">
            <v>86.28</v>
          </cell>
          <cell r="AN97">
            <v>0</v>
          </cell>
          <cell r="AO97">
            <v>112.5</v>
          </cell>
          <cell r="AP97">
            <v>119.28</v>
          </cell>
          <cell r="AQ97">
            <v>0</v>
          </cell>
          <cell r="AR97">
            <v>120.73</v>
          </cell>
          <cell r="AS97">
            <v>122.22</v>
          </cell>
          <cell r="AT97">
            <v>0</v>
          </cell>
          <cell r="AU97">
            <v>119.28</v>
          </cell>
          <cell r="AV97">
            <v>0</v>
          </cell>
          <cell r="AW97">
            <v>85.25</v>
          </cell>
          <cell r="AX97">
            <v>90.38</v>
          </cell>
          <cell r="AY97">
            <v>90.93</v>
          </cell>
          <cell r="AZ97">
            <v>91.49</v>
          </cell>
          <cell r="BA97">
            <v>92.61</v>
          </cell>
          <cell r="BB97">
            <v>92.61</v>
          </cell>
          <cell r="BC97">
            <v>90.38</v>
          </cell>
          <cell r="BD97">
            <v>0</v>
          </cell>
          <cell r="BE97">
            <v>117.85</v>
          </cell>
          <cell r="BF97">
            <v>124.95</v>
          </cell>
          <cell r="BG97">
            <v>125.71</v>
          </cell>
          <cell r="BH97">
            <v>126.47</v>
          </cell>
          <cell r="BI97">
            <v>128.03</v>
          </cell>
          <cell r="BJ97">
            <v>129.63</v>
          </cell>
          <cell r="BK97">
            <v>124.95</v>
          </cell>
        </row>
        <row r="98">
          <cell r="A98">
            <v>7891721020520</v>
          </cell>
          <cell r="B98">
            <v>1008900150425</v>
          </cell>
          <cell r="C98">
            <v>525402205151414</v>
          </cell>
          <cell r="D98" t="str">
            <v>CITONEURIN</v>
          </cell>
          <cell r="E98" t="str">
            <v>(100 + 100) MG/ML SOL INJ IM CX CAMA 3 AMP VD AMB X 1ML + 1000 MCG/ML 3 AMP X 1ML</v>
          </cell>
          <cell r="F98" t="str">
            <v>Solução injetável</v>
          </cell>
          <cell r="G98">
            <v>3</v>
          </cell>
          <cell r="H98" t="str">
            <v>AMPOLA</v>
          </cell>
          <cell r="I98">
            <v>1</v>
          </cell>
          <cell r="J98" t="str">
            <v>ML</v>
          </cell>
          <cell r="K98" t="str">
            <v>Conformidade</v>
          </cell>
          <cell r="L98">
            <v>3</v>
          </cell>
          <cell r="M98" t="str">
            <v>Tarja Vermelha</v>
          </cell>
          <cell r="N98" t="str">
            <v>Não</v>
          </cell>
          <cell r="O98" t="str">
            <v>Não</v>
          </cell>
          <cell r="P98" t="str">
            <v>Não</v>
          </cell>
          <cell r="Q98" t="str">
            <v>II</v>
          </cell>
          <cell r="R98"/>
          <cell r="S98" t="str">
            <v>Genérico</v>
          </cell>
          <cell r="T98" t="str">
            <v>Monitorado</v>
          </cell>
          <cell r="U98"/>
          <cell r="V98" t="str">
            <v>68-19-9,58-56-0,67-03-8</v>
          </cell>
          <cell r="W98"/>
          <cell r="X98"/>
          <cell r="Y98" t="str">
            <v>MG</v>
          </cell>
          <cell r="Z98" t="str">
            <v>01984,07167,08511</v>
          </cell>
          <cell r="AA98" t="str">
            <v>93 - ASSOCIAÇÕES VITAMINA B1+ B6 E/OU B12</v>
          </cell>
          <cell r="AB98" t="str">
            <v>N</v>
          </cell>
          <cell r="AC98" t="str">
            <v>N</v>
          </cell>
          <cell r="AD98">
            <v>0</v>
          </cell>
          <cell r="AE98" t="str">
            <v>N</v>
          </cell>
          <cell r="AF98">
            <v>0</v>
          </cell>
          <cell r="AG98">
            <v>6.38</v>
          </cell>
          <cell r="AH98">
            <v>6.77</v>
          </cell>
          <cell r="AI98">
            <v>0</v>
          </cell>
          <cell r="AJ98">
            <v>6.85</v>
          </cell>
          <cell r="AK98">
            <v>6.93</v>
          </cell>
          <cell r="AL98">
            <v>0</v>
          </cell>
          <cell r="AM98">
            <v>6.77</v>
          </cell>
          <cell r="AN98">
            <v>0</v>
          </cell>
          <cell r="AO98">
            <v>8.82</v>
          </cell>
          <cell r="AP98">
            <v>9.36</v>
          </cell>
          <cell r="AQ98">
            <v>0</v>
          </cell>
          <cell r="AR98">
            <v>9.4700000000000006</v>
          </cell>
          <cell r="AS98">
            <v>9.59</v>
          </cell>
          <cell r="AT98">
            <v>0</v>
          </cell>
          <cell r="AU98">
            <v>9.36</v>
          </cell>
          <cell r="AV98">
            <v>0</v>
          </cell>
          <cell r="AW98">
            <v>6.47</v>
          </cell>
          <cell r="AX98">
            <v>6.86</v>
          </cell>
          <cell r="AY98">
            <v>6.9</v>
          </cell>
          <cell r="AZ98">
            <v>6.94</v>
          </cell>
          <cell r="BA98">
            <v>7.03</v>
          </cell>
          <cell r="BB98">
            <v>7.03</v>
          </cell>
          <cell r="BC98">
            <v>6.86</v>
          </cell>
          <cell r="BD98">
            <v>0</v>
          </cell>
          <cell r="BE98">
            <v>8.94</v>
          </cell>
          <cell r="BF98">
            <v>9.48</v>
          </cell>
          <cell r="BG98">
            <v>9.5399999999999991</v>
          </cell>
          <cell r="BH98">
            <v>9.6</v>
          </cell>
          <cell r="BI98">
            <v>9.7200000000000006</v>
          </cell>
          <cell r="BJ98">
            <v>9.84</v>
          </cell>
          <cell r="BK98">
            <v>9.48</v>
          </cell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/>
          <cell r="AO99"/>
          <cell r="AP99"/>
          <cell r="AQ99"/>
          <cell r="AR99"/>
          <cell r="AS99"/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/>
          <cell r="BG99"/>
          <cell r="BH99"/>
          <cell r="BI99"/>
          <cell r="BJ99"/>
          <cell r="BK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/>
          <cell r="BG100"/>
          <cell r="BH100"/>
          <cell r="BI100"/>
          <cell r="BJ100"/>
          <cell r="BK100"/>
        </row>
        <row r="101">
          <cell r="A101">
            <v>7891721020506</v>
          </cell>
          <cell r="B101">
            <v>1008900150441</v>
          </cell>
          <cell r="C101">
            <v>525402206158412</v>
          </cell>
          <cell r="D101" t="str">
            <v>CITONEURIN</v>
          </cell>
          <cell r="E101" t="str">
            <v>(100 + 100) MG/ML SOL INJ IM CX CAMA 3 AMP VD AMB X 1ML + 5000 MCG/ML 3 AMP X 1ML</v>
          </cell>
          <cell r="F101" t="str">
            <v>Solução injetável</v>
          </cell>
          <cell r="G101">
            <v>3</v>
          </cell>
          <cell r="H101" t="str">
            <v>AMPOLA</v>
          </cell>
          <cell r="I101">
            <v>1</v>
          </cell>
          <cell r="J101" t="str">
            <v>ML</v>
          </cell>
          <cell r="K101" t="str">
            <v>Conformidade</v>
          </cell>
          <cell r="L101">
            <v>3</v>
          </cell>
          <cell r="M101" t="str">
            <v>Tarja Vermelha</v>
          </cell>
          <cell r="N101" t="str">
            <v>Não</v>
          </cell>
          <cell r="O101" t="str">
            <v>Não</v>
          </cell>
          <cell r="P101" t="str">
            <v>Não</v>
          </cell>
          <cell r="Q101" t="str">
            <v>II</v>
          </cell>
          <cell r="R101"/>
          <cell r="S101" t="str">
            <v>Genérico</v>
          </cell>
          <cell r="T101" t="str">
            <v>Monitorado</v>
          </cell>
          <cell r="U101"/>
          <cell r="V101" t="str">
            <v>68-19-9,58-56-0,67-03-8</v>
          </cell>
          <cell r="W101"/>
          <cell r="X101"/>
          <cell r="Y101" t="str">
            <v>MG</v>
          </cell>
          <cell r="Z101" t="str">
            <v>01984,07167,08511</v>
          </cell>
          <cell r="AA101" t="str">
            <v>93 - ASSOCIAÇÕES VITAMINA B1+ B6 E/OU B12</v>
          </cell>
          <cell r="AB101" t="str">
            <v>N</v>
          </cell>
          <cell r="AC101" t="str">
            <v>N</v>
          </cell>
          <cell r="AD101">
            <v>0</v>
          </cell>
          <cell r="AE101" t="str">
            <v>N</v>
          </cell>
          <cell r="AF101">
            <v>0</v>
          </cell>
          <cell r="AG101">
            <v>9.32</v>
          </cell>
          <cell r="AH101">
            <v>9.8800000000000008</v>
          </cell>
          <cell r="AI101">
            <v>0</v>
          </cell>
          <cell r="AJ101">
            <v>10</v>
          </cell>
          <cell r="AK101">
            <v>10.119999999999999</v>
          </cell>
          <cell r="AL101">
            <v>0</v>
          </cell>
          <cell r="AM101">
            <v>9.8800000000000008</v>
          </cell>
          <cell r="AN101">
            <v>0</v>
          </cell>
          <cell r="AO101">
            <v>12.88</v>
          </cell>
          <cell r="AP101">
            <v>13.66</v>
          </cell>
          <cell r="AQ101">
            <v>0</v>
          </cell>
          <cell r="AR101">
            <v>13.82</v>
          </cell>
          <cell r="AS101">
            <v>13.99</v>
          </cell>
          <cell r="AT101">
            <v>0</v>
          </cell>
          <cell r="AU101">
            <v>13.66</v>
          </cell>
          <cell r="AV101">
            <v>0</v>
          </cell>
          <cell r="AW101">
            <v>9.44</v>
          </cell>
          <cell r="AX101">
            <v>10.01</v>
          </cell>
          <cell r="AY101">
            <v>10.07</v>
          </cell>
          <cell r="AZ101">
            <v>10.14</v>
          </cell>
          <cell r="BA101">
            <v>10.26</v>
          </cell>
          <cell r="BB101">
            <v>10.26</v>
          </cell>
          <cell r="BC101">
            <v>10.01</v>
          </cell>
          <cell r="BD101">
            <v>0</v>
          </cell>
          <cell r="BE101">
            <v>13.05</v>
          </cell>
          <cell r="BF101">
            <v>13.84</v>
          </cell>
          <cell r="BG101">
            <v>13.92</v>
          </cell>
          <cell r="BH101">
            <v>14.01</v>
          </cell>
          <cell r="BI101">
            <v>14.18</v>
          </cell>
          <cell r="BJ101">
            <v>14.36</v>
          </cell>
          <cell r="BK101">
            <v>13.84</v>
          </cell>
        </row>
        <row r="102">
          <cell r="A102"/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</row>
        <row r="103">
          <cell r="A103"/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/>
          <cell r="BH103"/>
          <cell r="BI103"/>
          <cell r="BJ103"/>
          <cell r="BK103"/>
        </row>
        <row r="104">
          <cell r="A104">
            <v>7891721028946</v>
          </cell>
          <cell r="B104">
            <v>1008900150433</v>
          </cell>
          <cell r="C104">
            <v>525415070046703</v>
          </cell>
          <cell r="D104" t="str">
            <v>CITONEURIN</v>
          </cell>
          <cell r="E104" t="str">
            <v>(100 + 100)MG/ML SOL INJ IM CX CAMA AMP VD AMB X 1 ML + 1000 MCG/ML AMP X 1 ML</v>
          </cell>
          <cell r="F104" t="str">
            <v>Solução injetável</v>
          </cell>
          <cell r="G104">
            <v>1</v>
          </cell>
          <cell r="H104" t="str">
            <v>AMPOLA</v>
          </cell>
          <cell r="I104">
            <v>1</v>
          </cell>
          <cell r="J104" t="str">
            <v>ML</v>
          </cell>
          <cell r="K104" t="str">
            <v>Conformidade</v>
          </cell>
          <cell r="L104">
            <v>3</v>
          </cell>
          <cell r="M104" t="str">
            <v>Tarja Vermelha</v>
          </cell>
          <cell r="N104" t="str">
            <v>Não</v>
          </cell>
          <cell r="O104" t="str">
            <v>Não</v>
          </cell>
          <cell r="P104" t="str">
            <v>Não</v>
          </cell>
          <cell r="Q104" t="str">
            <v>II</v>
          </cell>
          <cell r="R104"/>
          <cell r="S104" t="str">
            <v>Genérico</v>
          </cell>
          <cell r="T104" t="str">
            <v>Monitorado</v>
          </cell>
          <cell r="U104"/>
          <cell r="V104" t="str">
            <v>68-19-9,58-56-0,67-03-8</v>
          </cell>
          <cell r="W104"/>
          <cell r="X104"/>
          <cell r="Y104"/>
          <cell r="Z104" t="str">
            <v>01984,07167,08511</v>
          </cell>
          <cell r="AA104" t="str">
            <v>93 - ASSOCIAÇÕES VITAMINA B1+ B6 E/OU B12</v>
          </cell>
          <cell r="AB104" t="str">
            <v>N</v>
          </cell>
          <cell r="AC104" t="str">
            <v>N</v>
          </cell>
          <cell r="AD104"/>
          <cell r="AE104" t="str">
            <v>N</v>
          </cell>
          <cell r="AF104">
            <v>0</v>
          </cell>
          <cell r="AG104">
            <v>2.13</v>
          </cell>
          <cell r="AH104">
            <v>2.2599999999999998</v>
          </cell>
          <cell r="AI104">
            <v>0</v>
          </cell>
          <cell r="AJ104">
            <v>2.2799999999999998</v>
          </cell>
          <cell r="AK104">
            <v>2.31</v>
          </cell>
          <cell r="AL104">
            <v>0</v>
          </cell>
          <cell r="AM104">
            <v>2.2599999999999998</v>
          </cell>
          <cell r="AN104">
            <v>0</v>
          </cell>
          <cell r="AO104">
            <v>2.94</v>
          </cell>
          <cell r="AP104">
            <v>3.12</v>
          </cell>
          <cell r="AQ104">
            <v>0</v>
          </cell>
          <cell r="AR104">
            <v>3.16</v>
          </cell>
          <cell r="AS104">
            <v>3.19</v>
          </cell>
          <cell r="AT104">
            <v>0</v>
          </cell>
          <cell r="AU104">
            <v>3.12</v>
          </cell>
          <cell r="AV104">
            <v>0</v>
          </cell>
          <cell r="AW104">
            <v>2.15</v>
          </cell>
          <cell r="AX104">
            <v>2.2799999999999998</v>
          </cell>
          <cell r="AY104">
            <v>2.2999999999999998</v>
          </cell>
          <cell r="AZ104">
            <v>2.31</v>
          </cell>
          <cell r="BA104">
            <v>2.34</v>
          </cell>
          <cell r="BB104">
            <v>2.34</v>
          </cell>
          <cell r="BC104">
            <v>2.2799999999999998</v>
          </cell>
          <cell r="BD104">
            <v>0</v>
          </cell>
          <cell r="BE104">
            <v>2.97</v>
          </cell>
          <cell r="BF104">
            <v>3.15</v>
          </cell>
          <cell r="BG104">
            <v>3.18</v>
          </cell>
          <cell r="BH104">
            <v>3.19</v>
          </cell>
          <cell r="BI104">
            <v>3.23</v>
          </cell>
          <cell r="BJ104">
            <v>3.28</v>
          </cell>
          <cell r="BK104">
            <v>3.15</v>
          </cell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/>
          <cell r="BH105"/>
          <cell r="BI105"/>
          <cell r="BJ105"/>
          <cell r="BK105"/>
        </row>
        <row r="106">
          <cell r="A106">
            <v>7891721028939</v>
          </cell>
          <cell r="B106">
            <v>1008900150451</v>
          </cell>
          <cell r="C106">
            <v>525415070046803</v>
          </cell>
          <cell r="D106" t="str">
            <v>CITONEURIN</v>
          </cell>
          <cell r="E106" t="str">
            <v>(100 + 100)MG/ML SOL INJ IM CX CAMA AMP VD AMB X 1 ML + 5000 MCG/ML AMP X 1 ML</v>
          </cell>
          <cell r="F106" t="str">
            <v>Solução injetável</v>
          </cell>
          <cell r="G106">
            <v>1</v>
          </cell>
          <cell r="H106" t="str">
            <v>AMPOLA</v>
          </cell>
          <cell r="I106">
            <v>1</v>
          </cell>
          <cell r="J106" t="str">
            <v>ML</v>
          </cell>
          <cell r="K106" t="str">
            <v>Conformidade</v>
          </cell>
          <cell r="L106">
            <v>3</v>
          </cell>
          <cell r="M106" t="str">
            <v>Tarja Vermelha</v>
          </cell>
          <cell r="N106" t="str">
            <v>Não</v>
          </cell>
          <cell r="O106" t="str">
            <v>Não</v>
          </cell>
          <cell r="P106" t="str">
            <v>Não</v>
          </cell>
          <cell r="Q106" t="str">
            <v>II</v>
          </cell>
          <cell r="R106"/>
          <cell r="S106" t="str">
            <v>Genérico</v>
          </cell>
          <cell r="T106" t="str">
            <v>Monitorado</v>
          </cell>
          <cell r="U106"/>
          <cell r="V106" t="str">
            <v>68-19-9,58-56-0,67-03-8</v>
          </cell>
          <cell r="W106"/>
          <cell r="X106"/>
          <cell r="Y106"/>
          <cell r="Z106" t="str">
            <v>01984,07167,08511</v>
          </cell>
          <cell r="AA106" t="str">
            <v>93 - ASSOCIAÇÕES VITAMINA B1+ B6 E/OU B12</v>
          </cell>
          <cell r="AB106" t="str">
            <v>N</v>
          </cell>
          <cell r="AC106" t="str">
            <v>N</v>
          </cell>
          <cell r="AD106"/>
          <cell r="AE106" t="str">
            <v>N</v>
          </cell>
          <cell r="AF106">
            <v>0</v>
          </cell>
          <cell r="AG106">
            <v>3.1</v>
          </cell>
          <cell r="AH106">
            <v>3.29</v>
          </cell>
          <cell r="AI106">
            <v>0</v>
          </cell>
          <cell r="AJ106">
            <v>3.33</v>
          </cell>
          <cell r="AK106">
            <v>3.37</v>
          </cell>
          <cell r="AL106">
            <v>0</v>
          </cell>
          <cell r="AM106">
            <v>3.29</v>
          </cell>
          <cell r="AN106">
            <v>0</v>
          </cell>
          <cell r="AO106">
            <v>4.29</v>
          </cell>
          <cell r="AP106">
            <v>4.55</v>
          </cell>
          <cell r="AQ106">
            <v>0</v>
          </cell>
          <cell r="AR106">
            <v>4.5999999999999996</v>
          </cell>
          <cell r="AS106">
            <v>4.66</v>
          </cell>
          <cell r="AT106">
            <v>0</v>
          </cell>
          <cell r="AU106">
            <v>4.55</v>
          </cell>
          <cell r="AV106">
            <v>0</v>
          </cell>
          <cell r="AW106">
            <v>3.14</v>
          </cell>
          <cell r="AX106">
            <v>3.33</v>
          </cell>
          <cell r="AY106">
            <v>3.35</v>
          </cell>
          <cell r="AZ106">
            <v>3.38</v>
          </cell>
          <cell r="BA106">
            <v>3.42</v>
          </cell>
          <cell r="BB106">
            <v>3.42</v>
          </cell>
          <cell r="BC106">
            <v>3.33</v>
          </cell>
          <cell r="BD106">
            <v>0</v>
          </cell>
          <cell r="BE106">
            <v>4.34</v>
          </cell>
          <cell r="BF106">
            <v>4.5999999999999996</v>
          </cell>
          <cell r="BG106">
            <v>4.63</v>
          </cell>
          <cell r="BH106">
            <v>4.67</v>
          </cell>
          <cell r="BI106">
            <v>4.7300000000000004</v>
          </cell>
          <cell r="BJ106">
            <v>4.78</v>
          </cell>
          <cell r="BK106">
            <v>4.5999999999999996</v>
          </cell>
        </row>
        <row r="107">
          <cell r="A107">
            <v>7891721029394</v>
          </cell>
          <cell r="B107">
            <v>1008900150158</v>
          </cell>
          <cell r="C107">
            <v>525415120046903</v>
          </cell>
          <cell r="D107" t="str">
            <v>CITONEURIN</v>
          </cell>
          <cell r="E107" t="str">
            <v>5000 MCG + 100 MG + 100 MG DRG EST CT BL AL AL AMB X 60</v>
          </cell>
          <cell r="F107" t="str">
            <v>Drágea</v>
          </cell>
          <cell r="G107"/>
          <cell r="H107"/>
          <cell r="I107">
            <v>60</v>
          </cell>
          <cell r="J107"/>
          <cell r="K107" t="str">
            <v>Conformidade</v>
          </cell>
          <cell r="L107">
            <v>3</v>
          </cell>
          <cell r="M107" t="str">
            <v>Tarja Vermelha</v>
          </cell>
          <cell r="N107" t="str">
            <v>Não</v>
          </cell>
          <cell r="O107" t="str">
            <v>Não</v>
          </cell>
          <cell r="P107" t="str">
            <v>Não</v>
          </cell>
          <cell r="Q107" t="str">
            <v>II</v>
          </cell>
          <cell r="R107"/>
          <cell r="S107" t="str">
            <v>Genérico</v>
          </cell>
          <cell r="T107" t="str">
            <v>Monitorado</v>
          </cell>
          <cell r="U107"/>
          <cell r="V107" t="str">
            <v>68-19-9,532-43-4,58-56-0</v>
          </cell>
          <cell r="W107"/>
          <cell r="X107"/>
          <cell r="Y107"/>
          <cell r="Z107" t="str">
            <v>01984,08514,07167</v>
          </cell>
          <cell r="AA107" t="str">
            <v>93 - ASSOCIAÇÕES VITAMINA B1+ B6 E/OU B12</v>
          </cell>
          <cell r="AB107" t="str">
            <v>N</v>
          </cell>
          <cell r="AC107" t="str">
            <v>N</v>
          </cell>
          <cell r="AD107"/>
          <cell r="AE107" t="str">
            <v>N</v>
          </cell>
          <cell r="AF107">
            <v>0</v>
          </cell>
          <cell r="AG107">
            <v>90.15</v>
          </cell>
          <cell r="AH107">
            <v>95.58</v>
          </cell>
          <cell r="AI107">
            <v>0</v>
          </cell>
          <cell r="AJ107">
            <v>96.75</v>
          </cell>
          <cell r="AK107">
            <v>97.94</v>
          </cell>
          <cell r="AL107">
            <v>0</v>
          </cell>
          <cell r="AM107">
            <v>95.58</v>
          </cell>
          <cell r="AN107">
            <v>0</v>
          </cell>
          <cell r="AO107">
            <v>124.63</v>
          </cell>
          <cell r="AP107">
            <v>132.13</v>
          </cell>
          <cell r="AQ107">
            <v>0</v>
          </cell>
          <cell r="AR107">
            <v>133.75</v>
          </cell>
          <cell r="AS107">
            <v>135.4</v>
          </cell>
          <cell r="AT107">
            <v>0</v>
          </cell>
          <cell r="AU107">
            <v>132.13</v>
          </cell>
          <cell r="AV107">
            <v>0</v>
          </cell>
          <cell r="AW107">
            <v>91.38</v>
          </cell>
          <cell r="AX107">
            <v>96.88</v>
          </cell>
          <cell r="AY107">
            <v>97.47</v>
          </cell>
          <cell r="AZ107">
            <v>98.06</v>
          </cell>
          <cell r="BA107">
            <v>99.28</v>
          </cell>
          <cell r="BB107">
            <v>99.28</v>
          </cell>
          <cell r="BC107">
            <v>96.88</v>
          </cell>
          <cell r="BD107">
            <v>0</v>
          </cell>
          <cell r="BE107">
            <v>126.33</v>
          </cell>
          <cell r="BF107">
            <v>133.93</v>
          </cell>
          <cell r="BG107">
            <v>134.75</v>
          </cell>
          <cell r="BH107">
            <v>135.57</v>
          </cell>
          <cell r="BI107">
            <v>137.25</v>
          </cell>
          <cell r="BJ107">
            <v>138.96</v>
          </cell>
          <cell r="BK107">
            <v>133.93</v>
          </cell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</row>
        <row r="109">
          <cell r="A109">
            <v>7891721028335</v>
          </cell>
          <cell r="B109">
            <v>1008900150131</v>
          </cell>
          <cell r="C109">
            <v>525415070045903</v>
          </cell>
          <cell r="D109" t="str">
            <v>CITONEURIN</v>
          </cell>
          <cell r="E109" t="str">
            <v>5000 MCG + 100 MG + 100 MG DRG EST CT BL AL AL X 20</v>
          </cell>
          <cell r="F109" t="str">
            <v>Drágea</v>
          </cell>
          <cell r="G109"/>
          <cell r="H109"/>
          <cell r="I109">
            <v>20</v>
          </cell>
          <cell r="J109"/>
          <cell r="K109" t="str">
            <v>Conformidade</v>
          </cell>
          <cell r="L109">
            <v>3</v>
          </cell>
          <cell r="M109" t="str">
            <v>Tarja Vermelha</v>
          </cell>
          <cell r="N109" t="str">
            <v>Não</v>
          </cell>
          <cell r="O109" t="str">
            <v>Não</v>
          </cell>
          <cell r="P109" t="str">
            <v>Não</v>
          </cell>
          <cell r="Q109" t="str">
            <v>II</v>
          </cell>
          <cell r="R109"/>
          <cell r="S109" t="str">
            <v>Genérico</v>
          </cell>
          <cell r="T109" t="str">
            <v>Monitorado</v>
          </cell>
          <cell r="U109"/>
          <cell r="V109" t="str">
            <v>68-19-9,532-43-4,58-56-0</v>
          </cell>
          <cell r="W109"/>
          <cell r="X109"/>
          <cell r="Y109"/>
          <cell r="Z109" t="str">
            <v>01984,08514,07167</v>
          </cell>
          <cell r="AA109" t="str">
            <v>93 - ASSOCIAÇÕES VITAMINA B1+ B6 E/OU B12</v>
          </cell>
          <cell r="AB109" t="str">
            <v>N</v>
          </cell>
          <cell r="AC109" t="str">
            <v>N</v>
          </cell>
          <cell r="AD109"/>
          <cell r="AE109" t="str">
            <v>N</v>
          </cell>
          <cell r="AF109">
            <v>0</v>
          </cell>
          <cell r="AG109">
            <v>34.770000000000003</v>
          </cell>
          <cell r="AH109">
            <v>36.869999999999997</v>
          </cell>
          <cell r="AI109">
            <v>0</v>
          </cell>
          <cell r="AJ109">
            <v>37.32</v>
          </cell>
          <cell r="AK109">
            <v>37.78</v>
          </cell>
          <cell r="AL109">
            <v>0</v>
          </cell>
          <cell r="AM109">
            <v>36.869999999999997</v>
          </cell>
          <cell r="AN109">
            <v>0</v>
          </cell>
          <cell r="AO109">
            <v>48.07</v>
          </cell>
          <cell r="AP109">
            <v>50.97</v>
          </cell>
          <cell r="AQ109">
            <v>0</v>
          </cell>
          <cell r="AR109">
            <v>51.59</v>
          </cell>
          <cell r="AS109">
            <v>52.23</v>
          </cell>
          <cell r="AT109">
            <v>0</v>
          </cell>
          <cell r="AU109">
            <v>50.97</v>
          </cell>
          <cell r="AV109">
            <v>0</v>
          </cell>
          <cell r="AW109">
            <v>35.25</v>
          </cell>
          <cell r="AX109">
            <v>37.369999999999997</v>
          </cell>
          <cell r="AY109">
            <v>37.6</v>
          </cell>
          <cell r="AZ109">
            <v>37.83</v>
          </cell>
          <cell r="BA109">
            <v>38.29</v>
          </cell>
          <cell r="BB109">
            <v>38.29</v>
          </cell>
          <cell r="BC109">
            <v>37.369999999999997</v>
          </cell>
          <cell r="BD109">
            <v>0</v>
          </cell>
          <cell r="BE109">
            <v>48.73</v>
          </cell>
          <cell r="BF109">
            <v>51.66</v>
          </cell>
          <cell r="BG109">
            <v>51.98</v>
          </cell>
          <cell r="BH109">
            <v>52.29</v>
          </cell>
          <cell r="BI109">
            <v>52.93</v>
          </cell>
          <cell r="BJ109">
            <v>53.6</v>
          </cell>
          <cell r="BK109">
            <v>51.66</v>
          </cell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/>
          <cell r="BG110"/>
          <cell r="BH110"/>
          <cell r="BI110"/>
          <cell r="BJ110"/>
          <cell r="BK110"/>
        </row>
        <row r="111">
          <cell r="A111"/>
          <cell r="B111"/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/>
          <cell r="BG111"/>
          <cell r="BH111"/>
          <cell r="BI111"/>
          <cell r="BJ111"/>
          <cell r="BK111"/>
        </row>
        <row r="112">
          <cell r="A112">
            <v>7891721000133</v>
          </cell>
          <cell r="B112">
            <v>1008900150046</v>
          </cell>
          <cell r="C112">
            <v>525402202111411</v>
          </cell>
          <cell r="D112" t="str">
            <v>CITONEURIN</v>
          </cell>
          <cell r="E112" t="str">
            <v>5000 MCG + 100 MG + 100 MG DRG EST CT BL AL PLAS AMB X 20</v>
          </cell>
          <cell r="F112" t="str">
            <v>Comprimido revestido</v>
          </cell>
          <cell r="G112"/>
          <cell r="H112"/>
          <cell r="I112">
            <v>20</v>
          </cell>
          <cell r="J112"/>
          <cell r="K112" t="str">
            <v>Conformidade</v>
          </cell>
          <cell r="L112">
            <v>3</v>
          </cell>
          <cell r="M112" t="str">
            <v>Tarja Vermelha</v>
          </cell>
          <cell r="N112" t="str">
            <v>Não</v>
          </cell>
          <cell r="O112" t="str">
            <v>Não</v>
          </cell>
          <cell r="P112" t="str">
            <v>Não</v>
          </cell>
          <cell r="Q112" t="str">
            <v>II</v>
          </cell>
          <cell r="R112"/>
          <cell r="S112" t="str">
            <v>Genérico</v>
          </cell>
          <cell r="T112" t="str">
            <v>Monitorado</v>
          </cell>
          <cell r="U112"/>
          <cell r="V112" t="str">
            <v>68-19-9,58-56-0,67-03-8</v>
          </cell>
          <cell r="W112"/>
          <cell r="X112"/>
          <cell r="Y112" t="str">
            <v>MCG</v>
          </cell>
          <cell r="Z112" t="str">
            <v>01984,07167,08511</v>
          </cell>
          <cell r="AA112" t="str">
            <v>93 - ASSOCIAÇÕES VITAMINA B1+ B6 E/OU B12</v>
          </cell>
          <cell r="AB112" t="str">
            <v>N</v>
          </cell>
          <cell r="AC112" t="str">
            <v>N</v>
          </cell>
          <cell r="AD112">
            <v>0</v>
          </cell>
          <cell r="AE112" t="str">
            <v>N</v>
          </cell>
          <cell r="AF112">
            <v>0</v>
          </cell>
          <cell r="AG112">
            <v>34.770000000000003</v>
          </cell>
          <cell r="AH112">
            <v>36.869999999999997</v>
          </cell>
          <cell r="AI112">
            <v>0</v>
          </cell>
          <cell r="AJ112">
            <v>37.32</v>
          </cell>
          <cell r="AK112">
            <v>37.78</v>
          </cell>
          <cell r="AL112">
            <v>0</v>
          </cell>
          <cell r="AM112">
            <v>36.869999999999997</v>
          </cell>
          <cell r="AN112">
            <v>0</v>
          </cell>
          <cell r="AO112">
            <v>48.07</v>
          </cell>
          <cell r="AP112">
            <v>50.97</v>
          </cell>
          <cell r="AQ112">
            <v>0</v>
          </cell>
          <cell r="AR112">
            <v>51.59</v>
          </cell>
          <cell r="AS112">
            <v>52.22</v>
          </cell>
          <cell r="AT112">
            <v>0</v>
          </cell>
          <cell r="AU112">
            <v>50.97</v>
          </cell>
          <cell r="AV112">
            <v>0</v>
          </cell>
          <cell r="AW112">
            <v>35.25</v>
          </cell>
          <cell r="AX112">
            <v>37.369999999999997</v>
          </cell>
          <cell r="AY112">
            <v>37.6</v>
          </cell>
          <cell r="AZ112">
            <v>37.83</v>
          </cell>
          <cell r="BA112">
            <v>38.29</v>
          </cell>
          <cell r="BB112">
            <v>38.29</v>
          </cell>
          <cell r="BC112">
            <v>37.369999999999997</v>
          </cell>
          <cell r="BD112">
            <v>0</v>
          </cell>
          <cell r="BE112">
            <v>48.73</v>
          </cell>
          <cell r="BF112">
            <v>51.66</v>
          </cell>
          <cell r="BG112">
            <v>51.98</v>
          </cell>
          <cell r="BH112">
            <v>52.29</v>
          </cell>
          <cell r="BI112">
            <v>52.93</v>
          </cell>
          <cell r="BJ112">
            <v>53.6</v>
          </cell>
          <cell r="BK112">
            <v>51.66</v>
          </cell>
        </row>
        <row r="113">
          <cell r="A113"/>
          <cell r="B113"/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  <cell r="AO113"/>
          <cell r="AP113"/>
          <cell r="AQ113"/>
          <cell r="AR113"/>
          <cell r="AS113"/>
          <cell r="AT113"/>
          <cell r="AU113"/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/>
          <cell r="BG113"/>
          <cell r="BH113"/>
          <cell r="BI113"/>
          <cell r="BJ113"/>
          <cell r="BK113"/>
        </row>
        <row r="114">
          <cell r="A114">
            <v>7891721271212</v>
          </cell>
          <cell r="B114">
            <v>1008902930010</v>
          </cell>
          <cell r="C114">
            <v>525402301118112</v>
          </cell>
          <cell r="D114" t="str">
            <v>CLARITROMICINA</v>
          </cell>
          <cell r="E114" t="str">
            <v>500 MG COM REV CT BL AL PLAS INC X 14</v>
          </cell>
          <cell r="F114" t="str">
            <v>Comprimido revestido</v>
          </cell>
          <cell r="G114"/>
          <cell r="H114"/>
          <cell r="I114">
            <v>14</v>
          </cell>
          <cell r="J114"/>
          <cell r="K114" t="str">
            <v>Conformidade</v>
          </cell>
          <cell r="L114">
            <v>1</v>
          </cell>
          <cell r="M114" t="str">
            <v>Tarja Vermelha</v>
          </cell>
          <cell r="N114" t="str">
            <v>Sim</v>
          </cell>
          <cell r="O114" t="str">
            <v>Não</v>
          </cell>
          <cell r="P114" t="str">
            <v>Não</v>
          </cell>
          <cell r="Q114" t="str">
            <v>I</v>
          </cell>
          <cell r="R114"/>
          <cell r="S114" t="str">
            <v>Genérico</v>
          </cell>
          <cell r="T114" t="str">
            <v>Monitorado</v>
          </cell>
          <cell r="U114"/>
          <cell r="V114" t="str">
            <v>81103-11-9</v>
          </cell>
          <cell r="W114"/>
          <cell r="X114"/>
          <cell r="Y114" t="str">
            <v>MG</v>
          </cell>
          <cell r="Z114">
            <v>2200</v>
          </cell>
          <cell r="AA114" t="str">
            <v>314 - MACROLIDEOS E SIMILARES</v>
          </cell>
          <cell r="AB114" t="str">
            <v>N</v>
          </cell>
          <cell r="AC114" t="str">
            <v>N</v>
          </cell>
          <cell r="AD114">
            <v>0</v>
          </cell>
          <cell r="AE114" t="str">
            <v>N</v>
          </cell>
          <cell r="AF114">
            <v>0</v>
          </cell>
          <cell r="AG114">
            <v>81.400000000000006</v>
          </cell>
          <cell r="AH114">
            <v>86.31</v>
          </cell>
          <cell r="AI114">
            <v>0</v>
          </cell>
          <cell r="AJ114">
            <v>87.36</v>
          </cell>
          <cell r="AK114">
            <v>88.44</v>
          </cell>
          <cell r="AL114">
            <v>0</v>
          </cell>
          <cell r="AM114">
            <v>86.31</v>
          </cell>
          <cell r="AN114">
            <v>0</v>
          </cell>
          <cell r="AO114">
            <v>112.53</v>
          </cell>
          <cell r="AP114">
            <v>119.32</v>
          </cell>
          <cell r="AQ114">
            <v>0</v>
          </cell>
          <cell r="AR114">
            <v>120.77</v>
          </cell>
          <cell r="AS114">
            <v>122.26</v>
          </cell>
          <cell r="AT114">
            <v>0</v>
          </cell>
          <cell r="AU114">
            <v>119.32</v>
          </cell>
          <cell r="AV114">
            <v>0</v>
          </cell>
          <cell r="AW114">
            <v>81.400000000000006</v>
          </cell>
          <cell r="AX114">
            <v>86.31</v>
          </cell>
          <cell r="AY114">
            <v>86.83</v>
          </cell>
          <cell r="AZ114">
            <v>87.36</v>
          </cell>
          <cell r="BA114">
            <v>88.44</v>
          </cell>
          <cell r="BB114">
            <v>88.44</v>
          </cell>
          <cell r="BC114">
            <v>86.31</v>
          </cell>
          <cell r="BD114">
            <v>0</v>
          </cell>
          <cell r="BE114">
            <v>112.53</v>
          </cell>
          <cell r="BF114">
            <v>119.32</v>
          </cell>
          <cell r="BG114">
            <v>120.04</v>
          </cell>
          <cell r="BH114">
            <v>120.77</v>
          </cell>
          <cell r="BI114">
            <v>122.26</v>
          </cell>
          <cell r="BJ114">
            <v>123.78</v>
          </cell>
          <cell r="BK114">
            <v>119.32</v>
          </cell>
        </row>
        <row r="115">
          <cell r="A115">
            <v>7891721271205</v>
          </cell>
          <cell r="B115">
            <v>1008902930029</v>
          </cell>
          <cell r="C115">
            <v>525402302114110</v>
          </cell>
          <cell r="D115" t="str">
            <v>CLARITROMICINA</v>
          </cell>
          <cell r="E115" t="str">
            <v>500 MG COM REV CT BL AL PLAS X 10</v>
          </cell>
          <cell r="F115" t="str">
            <v>Comprimido revestido</v>
          </cell>
          <cell r="G115"/>
          <cell r="H115"/>
          <cell r="I115">
            <v>10</v>
          </cell>
          <cell r="J115"/>
          <cell r="K115" t="str">
            <v>Conformidade</v>
          </cell>
          <cell r="L115">
            <v>1</v>
          </cell>
          <cell r="M115" t="str">
            <v>Tarja Vermelha</v>
          </cell>
          <cell r="N115" t="str">
            <v>Sim</v>
          </cell>
          <cell r="O115" t="str">
            <v>Não</v>
          </cell>
          <cell r="P115" t="str">
            <v>Não</v>
          </cell>
          <cell r="Q115" t="str">
            <v>I</v>
          </cell>
          <cell r="R115"/>
          <cell r="S115" t="str">
            <v>Genérico</v>
          </cell>
          <cell r="T115" t="str">
            <v>Monitorado</v>
          </cell>
          <cell r="U115"/>
          <cell r="V115" t="str">
            <v>81103-11-9</v>
          </cell>
          <cell r="W115"/>
          <cell r="X115"/>
          <cell r="Y115" t="str">
            <v>MG</v>
          </cell>
          <cell r="Z115">
            <v>2200</v>
          </cell>
          <cell r="AA115" t="str">
            <v>314 - MACROLIDEOS E SIMILARES</v>
          </cell>
          <cell r="AB115" t="str">
            <v>N</v>
          </cell>
          <cell r="AC115" t="str">
            <v>N</v>
          </cell>
          <cell r="AD115">
            <v>0</v>
          </cell>
          <cell r="AE115" t="str">
            <v>N</v>
          </cell>
          <cell r="AF115">
            <v>0</v>
          </cell>
          <cell r="AG115">
            <v>58.13</v>
          </cell>
          <cell r="AH115">
            <v>61.63</v>
          </cell>
          <cell r="AI115">
            <v>0</v>
          </cell>
          <cell r="AJ115">
            <v>62.38</v>
          </cell>
          <cell r="AK115">
            <v>63.15</v>
          </cell>
          <cell r="AL115">
            <v>0</v>
          </cell>
          <cell r="AM115">
            <v>61.63</v>
          </cell>
          <cell r="AN115">
            <v>0</v>
          </cell>
          <cell r="AO115">
            <v>80.36</v>
          </cell>
          <cell r="AP115">
            <v>85.2</v>
          </cell>
          <cell r="AQ115">
            <v>0</v>
          </cell>
          <cell r="AR115">
            <v>86.24</v>
          </cell>
          <cell r="AS115">
            <v>87.3</v>
          </cell>
          <cell r="AT115">
            <v>0</v>
          </cell>
          <cell r="AU115">
            <v>85.2</v>
          </cell>
          <cell r="AV115">
            <v>0</v>
          </cell>
          <cell r="AW115">
            <v>58.13</v>
          </cell>
          <cell r="AX115">
            <v>61.63</v>
          </cell>
          <cell r="AY115">
            <v>62</v>
          </cell>
          <cell r="AZ115">
            <v>62.38</v>
          </cell>
          <cell r="BA115">
            <v>63.15</v>
          </cell>
          <cell r="BB115">
            <v>63.15</v>
          </cell>
          <cell r="BC115">
            <v>61.63</v>
          </cell>
          <cell r="BD115">
            <v>0</v>
          </cell>
          <cell r="BE115">
            <v>80.36</v>
          </cell>
          <cell r="BF115">
            <v>85.2</v>
          </cell>
          <cell r="BG115">
            <v>85.71</v>
          </cell>
          <cell r="BH115">
            <v>86.24</v>
          </cell>
          <cell r="BI115">
            <v>87.3</v>
          </cell>
          <cell r="BJ115">
            <v>88.39</v>
          </cell>
          <cell r="BK115">
            <v>85.2</v>
          </cell>
        </row>
        <row r="116">
          <cell r="A116">
            <v>7891721001994</v>
          </cell>
          <cell r="B116">
            <v>1008902120061</v>
          </cell>
          <cell r="C116">
            <v>525402403115414</v>
          </cell>
          <cell r="D116" t="str">
            <v>CLINDAL AZ</v>
          </cell>
          <cell r="E116" t="str">
            <v>500 MG COM REV CT BL AL PLAS INC X 2</v>
          </cell>
          <cell r="F116" t="str">
            <v>Comprimido revestido</v>
          </cell>
          <cell r="G116"/>
          <cell r="H116"/>
          <cell r="I116">
            <v>2</v>
          </cell>
          <cell r="J116"/>
          <cell r="K116" t="str">
            <v>Conformidade</v>
          </cell>
          <cell r="L116">
            <v>1</v>
          </cell>
          <cell r="M116" t="str">
            <v>Tarja Vermelha</v>
          </cell>
          <cell r="N116" t="str">
            <v>Não</v>
          </cell>
          <cell r="O116" t="str">
            <v>Não</v>
          </cell>
          <cell r="P116" t="str">
            <v>Não</v>
          </cell>
          <cell r="Q116" t="str">
            <v>I</v>
          </cell>
          <cell r="R116"/>
          <cell r="S116" t="str">
            <v>Similar</v>
          </cell>
          <cell r="T116" t="str">
            <v>Monitorado</v>
          </cell>
          <cell r="U116"/>
          <cell r="V116" t="str">
            <v>83905-01-5</v>
          </cell>
          <cell r="W116"/>
          <cell r="X116"/>
          <cell r="Y116" t="str">
            <v>MG</v>
          </cell>
          <cell r="Z116">
            <v>997</v>
          </cell>
          <cell r="AA116" t="str">
            <v>314 - MACROLIDEOS E SIMILARES</v>
          </cell>
          <cell r="AB116" t="str">
            <v>N</v>
          </cell>
          <cell r="AC116" t="str">
            <v>N</v>
          </cell>
          <cell r="AD116">
            <v>0</v>
          </cell>
          <cell r="AE116" t="str">
            <v>N</v>
          </cell>
          <cell r="AF116">
            <v>0</v>
          </cell>
          <cell r="AG116">
            <v>13.94</v>
          </cell>
          <cell r="AH116">
            <v>14.78</v>
          </cell>
          <cell r="AI116">
            <v>0</v>
          </cell>
          <cell r="AJ116">
            <v>14.96</v>
          </cell>
          <cell r="AK116">
            <v>15.15</v>
          </cell>
          <cell r="AL116">
            <v>0</v>
          </cell>
          <cell r="AM116">
            <v>14.78</v>
          </cell>
          <cell r="AN116">
            <v>0</v>
          </cell>
          <cell r="AO116">
            <v>19.27</v>
          </cell>
          <cell r="AP116">
            <v>20.43</v>
          </cell>
          <cell r="AQ116">
            <v>0</v>
          </cell>
          <cell r="AR116">
            <v>20.69</v>
          </cell>
          <cell r="AS116">
            <v>20.94</v>
          </cell>
          <cell r="AT116">
            <v>0</v>
          </cell>
          <cell r="AU116">
            <v>20.43</v>
          </cell>
          <cell r="AV116">
            <v>0</v>
          </cell>
          <cell r="AW116">
            <v>14.6</v>
          </cell>
          <cell r="AX116">
            <v>15.48</v>
          </cell>
          <cell r="AY116">
            <v>15.58</v>
          </cell>
          <cell r="AZ116">
            <v>15.67</v>
          </cell>
          <cell r="BA116">
            <v>15.87</v>
          </cell>
          <cell r="BB116">
            <v>15.87</v>
          </cell>
          <cell r="BC116">
            <v>15.48</v>
          </cell>
          <cell r="BD116">
            <v>0</v>
          </cell>
          <cell r="BE116">
            <v>20.18</v>
          </cell>
          <cell r="BF116">
            <v>21.4</v>
          </cell>
          <cell r="BG116">
            <v>21.54</v>
          </cell>
          <cell r="BH116">
            <v>21.67</v>
          </cell>
          <cell r="BI116">
            <v>21.94</v>
          </cell>
          <cell r="BJ116">
            <v>22.2</v>
          </cell>
          <cell r="BK116">
            <v>21.4</v>
          </cell>
        </row>
        <row r="117">
          <cell r="A117"/>
          <cell r="B117"/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/>
          <cell r="AM117"/>
          <cell r="AN117"/>
          <cell r="AO117"/>
          <cell r="AP117"/>
          <cell r="AQ117"/>
          <cell r="AR117"/>
          <cell r="AS117"/>
          <cell r="AT117"/>
          <cell r="AU117"/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/>
          <cell r="BG117"/>
          <cell r="BH117"/>
          <cell r="BI117"/>
          <cell r="BJ117"/>
          <cell r="BK117"/>
        </row>
        <row r="118">
          <cell r="A118">
            <v>7891721000812</v>
          </cell>
          <cell r="B118">
            <v>1008902120051</v>
          </cell>
          <cell r="C118">
            <v>525402404111412</v>
          </cell>
          <cell r="D118" t="str">
            <v>CLINDAL AZ</v>
          </cell>
          <cell r="E118" t="str">
            <v>500 MG COM REV CT BL AL PLAS INC X 3 </v>
          </cell>
          <cell r="F118" t="str">
            <v>Comprimido revestido</v>
          </cell>
          <cell r="G118"/>
          <cell r="H118"/>
          <cell r="I118">
            <v>3</v>
          </cell>
          <cell r="J118"/>
          <cell r="K118" t="str">
            <v>Conformidade</v>
          </cell>
          <cell r="L118">
            <v>1</v>
          </cell>
          <cell r="M118" t="str">
            <v>Tarja Vermelha</v>
          </cell>
          <cell r="N118" t="str">
            <v>Não</v>
          </cell>
          <cell r="O118" t="str">
            <v>Não</v>
          </cell>
          <cell r="P118" t="str">
            <v>Não</v>
          </cell>
          <cell r="Q118" t="str">
            <v>I</v>
          </cell>
          <cell r="R118"/>
          <cell r="S118" t="str">
            <v>Similar</v>
          </cell>
          <cell r="T118" t="str">
            <v>Monitorado</v>
          </cell>
          <cell r="U118"/>
          <cell r="V118" t="str">
            <v>83905-01-5</v>
          </cell>
          <cell r="W118"/>
          <cell r="X118"/>
          <cell r="Y118" t="str">
            <v>MG</v>
          </cell>
          <cell r="Z118">
            <v>997</v>
          </cell>
          <cell r="AA118" t="str">
            <v>314 - MACROLIDEOS E SIMILARES</v>
          </cell>
          <cell r="AB118" t="str">
            <v>N</v>
          </cell>
          <cell r="AC118" t="str">
            <v>N</v>
          </cell>
          <cell r="AD118">
            <v>0</v>
          </cell>
          <cell r="AE118" t="str">
            <v>N</v>
          </cell>
          <cell r="AF118">
            <v>0</v>
          </cell>
          <cell r="AG118">
            <v>20.079999999999998</v>
          </cell>
          <cell r="AH118">
            <v>21.28</v>
          </cell>
          <cell r="AI118">
            <v>0</v>
          </cell>
          <cell r="AJ118">
            <v>21.54</v>
          </cell>
          <cell r="AK118">
            <v>21.81</v>
          </cell>
          <cell r="AL118">
            <v>0</v>
          </cell>
          <cell r="AM118">
            <v>21.28</v>
          </cell>
          <cell r="AN118">
            <v>0</v>
          </cell>
          <cell r="AO118">
            <v>27.76</v>
          </cell>
          <cell r="AP118">
            <v>29.42</v>
          </cell>
          <cell r="AQ118">
            <v>0</v>
          </cell>
          <cell r="AR118">
            <v>29.78</v>
          </cell>
          <cell r="AS118">
            <v>30.15</v>
          </cell>
          <cell r="AT118">
            <v>0</v>
          </cell>
          <cell r="AU118">
            <v>29.42</v>
          </cell>
          <cell r="AV118">
            <v>0</v>
          </cell>
          <cell r="AW118">
            <v>21.03</v>
          </cell>
          <cell r="AX118">
            <v>22.29</v>
          </cell>
          <cell r="AY118">
            <v>22.43</v>
          </cell>
          <cell r="AZ118">
            <v>22.57</v>
          </cell>
          <cell r="BA118">
            <v>22.84</v>
          </cell>
          <cell r="BB118">
            <v>22.84</v>
          </cell>
          <cell r="BC118">
            <v>22.29</v>
          </cell>
          <cell r="BD118">
            <v>0</v>
          </cell>
          <cell r="BE118">
            <v>29.07</v>
          </cell>
          <cell r="BF118">
            <v>30.81</v>
          </cell>
          <cell r="BG118">
            <v>31.01</v>
          </cell>
          <cell r="BH118">
            <v>31.19</v>
          </cell>
          <cell r="BI118">
            <v>31.57</v>
          </cell>
          <cell r="BJ118">
            <v>31.98</v>
          </cell>
          <cell r="BK118">
            <v>30.81</v>
          </cell>
        </row>
        <row r="119">
          <cell r="A119"/>
          <cell r="B119"/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</row>
        <row r="120">
          <cell r="A120">
            <v>7891721013522</v>
          </cell>
          <cell r="B120">
            <v>1008902120078</v>
          </cell>
          <cell r="C120">
            <v>525402406114419</v>
          </cell>
          <cell r="D120" t="str">
            <v>CLINDAL AZ</v>
          </cell>
          <cell r="E120" t="str">
            <v>500 MG COM REV CT BL AL PLAS INC X 5</v>
          </cell>
          <cell r="F120" t="str">
            <v>Comprimido revestido</v>
          </cell>
          <cell r="G120"/>
          <cell r="H120"/>
          <cell r="I120">
            <v>5</v>
          </cell>
          <cell r="J120"/>
          <cell r="K120" t="str">
            <v>Conformidade</v>
          </cell>
          <cell r="L120">
            <v>1</v>
          </cell>
          <cell r="M120" t="str">
            <v>Tarja Vermelha</v>
          </cell>
          <cell r="N120" t="str">
            <v>Não</v>
          </cell>
          <cell r="O120" t="str">
            <v>Não</v>
          </cell>
          <cell r="P120" t="str">
            <v>Não</v>
          </cell>
          <cell r="Q120" t="str">
            <v>I</v>
          </cell>
          <cell r="R120"/>
          <cell r="S120" t="str">
            <v>Similar</v>
          </cell>
          <cell r="T120" t="str">
            <v>Monitorado</v>
          </cell>
          <cell r="U120"/>
          <cell r="V120" t="str">
            <v>83905-01-5</v>
          </cell>
          <cell r="W120"/>
          <cell r="X120"/>
          <cell r="Y120" t="str">
            <v>MG</v>
          </cell>
          <cell r="Z120">
            <v>997</v>
          </cell>
          <cell r="AA120" t="str">
            <v>314 - MACROLIDEOS E SIMILARES</v>
          </cell>
          <cell r="AB120" t="str">
            <v>N</v>
          </cell>
          <cell r="AC120" t="str">
            <v>N</v>
          </cell>
          <cell r="AD120">
            <v>0</v>
          </cell>
          <cell r="AE120" t="str">
            <v>N</v>
          </cell>
          <cell r="AF120">
            <v>0</v>
          </cell>
          <cell r="AG120">
            <v>30.11</v>
          </cell>
          <cell r="AH120">
            <v>31.92</v>
          </cell>
          <cell r="AI120">
            <v>0</v>
          </cell>
          <cell r="AJ120">
            <v>32.31</v>
          </cell>
          <cell r="AK120">
            <v>32.71</v>
          </cell>
          <cell r="AL120">
            <v>0</v>
          </cell>
          <cell r="AM120">
            <v>31.92</v>
          </cell>
          <cell r="AN120">
            <v>0</v>
          </cell>
          <cell r="AO120">
            <v>41.63</v>
          </cell>
          <cell r="AP120">
            <v>44.13</v>
          </cell>
          <cell r="AQ120">
            <v>0</v>
          </cell>
          <cell r="AR120">
            <v>44.67</v>
          </cell>
          <cell r="AS120">
            <v>45.22</v>
          </cell>
          <cell r="AT120">
            <v>0</v>
          </cell>
          <cell r="AU120">
            <v>44.13</v>
          </cell>
          <cell r="AV120">
            <v>0</v>
          </cell>
          <cell r="AW120">
            <v>31.54</v>
          </cell>
          <cell r="AX120">
            <v>33.44</v>
          </cell>
          <cell r="AY120">
            <v>33.64</v>
          </cell>
          <cell r="AZ120">
            <v>33.85</v>
          </cell>
          <cell r="BA120">
            <v>34.270000000000003</v>
          </cell>
          <cell r="BB120">
            <v>34.270000000000003</v>
          </cell>
          <cell r="BC120">
            <v>33.44</v>
          </cell>
          <cell r="BD120">
            <v>0</v>
          </cell>
          <cell r="BE120">
            <v>43.6</v>
          </cell>
          <cell r="BF120">
            <v>46.23</v>
          </cell>
          <cell r="BG120">
            <v>46.51</v>
          </cell>
          <cell r="BH120">
            <v>46.79</v>
          </cell>
          <cell r="BI120">
            <v>47.38</v>
          </cell>
          <cell r="BJ120">
            <v>47.96</v>
          </cell>
          <cell r="BK120">
            <v>46.23</v>
          </cell>
        </row>
        <row r="121">
          <cell r="A121"/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/>
          <cell r="BH121"/>
          <cell r="BI121"/>
          <cell r="BJ121"/>
          <cell r="BK121"/>
        </row>
        <row r="122">
          <cell r="A122">
            <v>7891721003059</v>
          </cell>
          <cell r="B122">
            <v>1008902540026</v>
          </cell>
          <cell r="C122">
            <v>525402502113411</v>
          </cell>
          <cell r="D122" t="str">
            <v>CLINFAR</v>
          </cell>
          <cell r="E122" t="str">
            <v>10 MG COM REV CT CART BL AL PLAS INC X 10</v>
          </cell>
          <cell r="F122" t="str">
            <v>Comprimido revestido</v>
          </cell>
          <cell r="G122"/>
          <cell r="H122"/>
          <cell r="I122">
            <v>10</v>
          </cell>
          <cell r="J122"/>
          <cell r="K122" t="str">
            <v>Conformidade</v>
          </cell>
          <cell r="L122">
            <v>1</v>
          </cell>
          <cell r="M122" t="str">
            <v>Tarja Vermelha</v>
          </cell>
          <cell r="N122" t="str">
            <v>Não</v>
          </cell>
          <cell r="O122" t="str">
            <v>Não</v>
          </cell>
          <cell r="P122" t="str">
            <v>Sim</v>
          </cell>
          <cell r="Q122" t="str">
            <v>I</v>
          </cell>
          <cell r="R122"/>
          <cell r="S122" t="str">
            <v>Similar</v>
          </cell>
          <cell r="T122" t="str">
            <v>Monitorado</v>
          </cell>
          <cell r="U122"/>
          <cell r="V122" t="str">
            <v>79902-63-9</v>
          </cell>
          <cell r="W122"/>
          <cell r="X122"/>
          <cell r="Y122" t="str">
            <v>MG</v>
          </cell>
          <cell r="Z122">
            <v>8016</v>
          </cell>
          <cell r="AA122" t="str">
            <v>213 - ESTATINAS, INIBIDORES DA REDUTASE HMG-CoA</v>
          </cell>
          <cell r="AB122" t="str">
            <v>N</v>
          </cell>
          <cell r="AC122" t="str">
            <v>N</v>
          </cell>
          <cell r="AD122">
            <v>0</v>
          </cell>
          <cell r="AE122" t="str">
            <v>N</v>
          </cell>
          <cell r="AF122">
            <v>0</v>
          </cell>
          <cell r="AG122">
            <v>4.08</v>
          </cell>
          <cell r="AH122">
            <v>4.32</v>
          </cell>
          <cell r="AI122">
            <v>0</v>
          </cell>
          <cell r="AJ122">
            <v>4.38</v>
          </cell>
          <cell r="AK122">
            <v>4.43</v>
          </cell>
          <cell r="AL122">
            <v>0</v>
          </cell>
          <cell r="AM122">
            <v>4.32</v>
          </cell>
          <cell r="AN122">
            <v>0</v>
          </cell>
          <cell r="AO122">
            <v>5.64</v>
          </cell>
          <cell r="AP122">
            <v>5.97</v>
          </cell>
          <cell r="AQ122">
            <v>0</v>
          </cell>
          <cell r="AR122">
            <v>6.05</v>
          </cell>
          <cell r="AS122">
            <v>6.12</v>
          </cell>
          <cell r="AT122">
            <v>0</v>
          </cell>
          <cell r="AU122">
            <v>5.97</v>
          </cell>
          <cell r="AV122">
            <v>0</v>
          </cell>
          <cell r="AW122">
            <v>4.28</v>
          </cell>
          <cell r="AX122">
            <v>4.53</v>
          </cell>
          <cell r="AY122">
            <v>4.5599999999999996</v>
          </cell>
          <cell r="AZ122">
            <v>4.59</v>
          </cell>
          <cell r="BA122">
            <v>4.6399999999999997</v>
          </cell>
          <cell r="BB122">
            <v>4.6399999999999997</v>
          </cell>
          <cell r="BC122">
            <v>4.53</v>
          </cell>
          <cell r="BD122">
            <v>0</v>
          </cell>
          <cell r="BE122">
            <v>5.92</v>
          </cell>
          <cell r="BF122">
            <v>6.26</v>
          </cell>
          <cell r="BG122">
            <v>6.3</v>
          </cell>
          <cell r="BH122">
            <v>6.34</v>
          </cell>
          <cell r="BI122">
            <v>6.41</v>
          </cell>
          <cell r="BJ122">
            <v>6.5</v>
          </cell>
          <cell r="BK122">
            <v>6.26</v>
          </cell>
        </row>
        <row r="123">
          <cell r="A123">
            <v>7891721003042</v>
          </cell>
          <cell r="B123">
            <v>1008902540042</v>
          </cell>
          <cell r="C123">
            <v>525402501117411</v>
          </cell>
          <cell r="D123" t="str">
            <v>CLINFAR</v>
          </cell>
          <cell r="E123" t="str">
            <v>10 MG COM REV CT CART BL AL PLAS INC X 30</v>
          </cell>
          <cell r="F123" t="str">
            <v>Comprimido revestido</v>
          </cell>
          <cell r="G123"/>
          <cell r="H123"/>
          <cell r="I123">
            <v>30</v>
          </cell>
          <cell r="J123"/>
          <cell r="K123" t="str">
            <v>Conformidade</v>
          </cell>
          <cell r="L123">
            <v>1</v>
          </cell>
          <cell r="M123" t="str">
            <v>Tarja Vermelha</v>
          </cell>
          <cell r="N123" t="str">
            <v>Não</v>
          </cell>
          <cell r="O123" t="str">
            <v>Não</v>
          </cell>
          <cell r="P123" t="str">
            <v>Sim</v>
          </cell>
          <cell r="Q123" t="str">
            <v>I</v>
          </cell>
          <cell r="R123"/>
          <cell r="S123" t="str">
            <v>Similar</v>
          </cell>
          <cell r="T123" t="str">
            <v>Monitorado</v>
          </cell>
          <cell r="U123"/>
          <cell r="V123" t="str">
            <v>79902-63-9</v>
          </cell>
          <cell r="W123"/>
          <cell r="X123"/>
          <cell r="Y123" t="str">
            <v>MG</v>
          </cell>
          <cell r="Z123">
            <v>8016</v>
          </cell>
          <cell r="AA123" t="str">
            <v>213 - ESTATINAS, INIBIDORES DA REDUTASE HMG-CoA</v>
          </cell>
          <cell r="AB123" t="str">
            <v>N</v>
          </cell>
          <cell r="AC123" t="str">
            <v>N</v>
          </cell>
          <cell r="AD123">
            <v>0</v>
          </cell>
          <cell r="AE123" t="str">
            <v>N</v>
          </cell>
          <cell r="AF123">
            <v>0</v>
          </cell>
          <cell r="AG123">
            <v>12.21</v>
          </cell>
          <cell r="AH123">
            <v>12.95</v>
          </cell>
          <cell r="AI123">
            <v>0</v>
          </cell>
          <cell r="AJ123">
            <v>13.11</v>
          </cell>
          <cell r="AK123">
            <v>13.27</v>
          </cell>
          <cell r="AL123">
            <v>0</v>
          </cell>
          <cell r="AM123">
            <v>12.95</v>
          </cell>
          <cell r="AN123">
            <v>0</v>
          </cell>
          <cell r="AO123">
            <v>16.88</v>
          </cell>
          <cell r="AP123">
            <v>17.899999999999999</v>
          </cell>
          <cell r="AQ123">
            <v>0</v>
          </cell>
          <cell r="AR123">
            <v>18.12</v>
          </cell>
          <cell r="AS123">
            <v>18.34</v>
          </cell>
          <cell r="AT123">
            <v>0</v>
          </cell>
          <cell r="AU123">
            <v>17.899999999999999</v>
          </cell>
          <cell r="AV123">
            <v>0</v>
          </cell>
          <cell r="AW123">
            <v>12.8</v>
          </cell>
          <cell r="AX123">
            <v>13.57</v>
          </cell>
          <cell r="AY123">
            <v>13.65</v>
          </cell>
          <cell r="AZ123">
            <v>13.73</v>
          </cell>
          <cell r="BA123">
            <v>13.9</v>
          </cell>
          <cell r="BB123">
            <v>13.9</v>
          </cell>
          <cell r="BC123">
            <v>13.57</v>
          </cell>
          <cell r="BD123">
            <v>0</v>
          </cell>
          <cell r="BE123">
            <v>17.7</v>
          </cell>
          <cell r="BF123">
            <v>18.760000000000002</v>
          </cell>
          <cell r="BG123">
            <v>18.87</v>
          </cell>
          <cell r="BH123">
            <v>18.989999999999998</v>
          </cell>
          <cell r="BI123">
            <v>19.22</v>
          </cell>
          <cell r="BJ123">
            <v>19.46</v>
          </cell>
          <cell r="BK123">
            <v>18.760000000000002</v>
          </cell>
        </row>
        <row r="124">
          <cell r="A124"/>
          <cell r="B124"/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</row>
        <row r="125">
          <cell r="A125">
            <v>7891721013119</v>
          </cell>
          <cell r="B125">
            <v>1008902540050</v>
          </cell>
          <cell r="C125">
            <v>525402509118417</v>
          </cell>
          <cell r="D125" t="str">
            <v>CLINFAR</v>
          </cell>
          <cell r="E125" t="str">
            <v>20 MG COM REV CT CART BL AL PLAS INC X 10</v>
          </cell>
          <cell r="F125" t="str">
            <v>Comprimido revestido</v>
          </cell>
          <cell r="G125"/>
          <cell r="H125"/>
          <cell r="I125">
            <v>10</v>
          </cell>
          <cell r="J125"/>
          <cell r="K125" t="str">
            <v>Conformidade</v>
          </cell>
          <cell r="L125">
            <v>1</v>
          </cell>
          <cell r="M125" t="str">
            <v>Tarja Vermelha</v>
          </cell>
          <cell r="N125" t="str">
            <v>Não</v>
          </cell>
          <cell r="O125" t="str">
            <v>Não</v>
          </cell>
          <cell r="P125" t="str">
            <v>Sim</v>
          </cell>
          <cell r="Q125" t="str">
            <v>I</v>
          </cell>
          <cell r="R125"/>
          <cell r="S125" t="str">
            <v>Similar</v>
          </cell>
          <cell r="T125" t="str">
            <v>Monitorado</v>
          </cell>
          <cell r="U125"/>
          <cell r="V125" t="str">
            <v>79902-63-9</v>
          </cell>
          <cell r="W125"/>
          <cell r="X125"/>
          <cell r="Y125" t="str">
            <v>MG</v>
          </cell>
          <cell r="Z125">
            <v>8016</v>
          </cell>
          <cell r="AA125" t="str">
            <v>213 - ESTATINAS, INIBIDORES DA REDUTASE HMG-CoA</v>
          </cell>
          <cell r="AB125" t="str">
            <v>N</v>
          </cell>
          <cell r="AC125" t="str">
            <v>N</v>
          </cell>
          <cell r="AD125">
            <v>0</v>
          </cell>
          <cell r="AE125" t="str">
            <v>N</v>
          </cell>
          <cell r="AF125">
            <v>0</v>
          </cell>
          <cell r="AG125">
            <v>7.78</v>
          </cell>
          <cell r="AH125">
            <v>8.25</v>
          </cell>
          <cell r="AI125">
            <v>0</v>
          </cell>
          <cell r="AJ125">
            <v>8.35</v>
          </cell>
          <cell r="AK125">
            <v>8.4499999999999993</v>
          </cell>
          <cell r="AL125">
            <v>0</v>
          </cell>
          <cell r="AM125">
            <v>8.25</v>
          </cell>
          <cell r="AN125">
            <v>0</v>
          </cell>
          <cell r="AO125">
            <v>10.76</v>
          </cell>
          <cell r="AP125">
            <v>11.41</v>
          </cell>
          <cell r="AQ125">
            <v>0</v>
          </cell>
          <cell r="AR125">
            <v>11.54</v>
          </cell>
          <cell r="AS125">
            <v>11.68</v>
          </cell>
          <cell r="AT125">
            <v>0</v>
          </cell>
          <cell r="AU125">
            <v>11.41</v>
          </cell>
          <cell r="AV125">
            <v>0</v>
          </cell>
          <cell r="AW125">
            <v>8.15</v>
          </cell>
          <cell r="AX125">
            <v>8.64</v>
          </cell>
          <cell r="AY125">
            <v>8.69</v>
          </cell>
          <cell r="AZ125">
            <v>8.75</v>
          </cell>
          <cell r="BA125">
            <v>8.86</v>
          </cell>
          <cell r="BB125">
            <v>8.86</v>
          </cell>
          <cell r="BC125">
            <v>8.64</v>
          </cell>
          <cell r="BD125">
            <v>0</v>
          </cell>
          <cell r="BE125">
            <v>11.27</v>
          </cell>
          <cell r="BF125">
            <v>11.94</v>
          </cell>
          <cell r="BG125">
            <v>12.01</v>
          </cell>
          <cell r="BH125">
            <v>12.09</v>
          </cell>
          <cell r="BI125">
            <v>12.25</v>
          </cell>
          <cell r="BJ125">
            <v>12.4</v>
          </cell>
          <cell r="BK125">
            <v>11.94</v>
          </cell>
        </row>
        <row r="126">
          <cell r="A126"/>
          <cell r="B126"/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/>
          <cell r="BG126"/>
          <cell r="BH126"/>
          <cell r="BI126"/>
          <cell r="BJ126"/>
          <cell r="BK126"/>
        </row>
        <row r="127">
          <cell r="A127">
            <v>7891721012884</v>
          </cell>
          <cell r="B127">
            <v>1008902540077</v>
          </cell>
          <cell r="C127">
            <v>525402504116416</v>
          </cell>
          <cell r="D127" t="str">
            <v>CLINFAR</v>
          </cell>
          <cell r="E127" t="str">
            <v>20 MG COM REV CT CART BL AL PLAS INC X 30 </v>
          </cell>
          <cell r="F127" t="str">
            <v>Comprimido revestido</v>
          </cell>
          <cell r="G127"/>
          <cell r="H127"/>
          <cell r="I127">
            <v>30</v>
          </cell>
          <cell r="J127"/>
          <cell r="K127" t="str">
            <v>Conformidade</v>
          </cell>
          <cell r="L127">
            <v>1</v>
          </cell>
          <cell r="M127" t="str">
            <v>Tarja Vermelha</v>
          </cell>
          <cell r="N127" t="str">
            <v>Não</v>
          </cell>
          <cell r="O127" t="str">
            <v>Não</v>
          </cell>
          <cell r="P127" t="str">
            <v>Sim</v>
          </cell>
          <cell r="Q127" t="str">
            <v>I</v>
          </cell>
          <cell r="R127"/>
          <cell r="S127" t="str">
            <v>Similar</v>
          </cell>
          <cell r="T127" t="str">
            <v>Monitorado</v>
          </cell>
          <cell r="U127"/>
          <cell r="V127" t="str">
            <v>79902-63-9</v>
          </cell>
          <cell r="W127"/>
          <cell r="X127"/>
          <cell r="Y127" t="str">
            <v>MG</v>
          </cell>
          <cell r="Z127">
            <v>8016</v>
          </cell>
          <cell r="AA127" t="str">
            <v>213 - ESTATINAS, INIBIDORES DA REDUTASE HMG-CoA</v>
          </cell>
          <cell r="AB127" t="str">
            <v>N</v>
          </cell>
          <cell r="AC127" t="str">
            <v>N</v>
          </cell>
          <cell r="AD127">
            <v>0</v>
          </cell>
          <cell r="AE127" t="str">
            <v>N</v>
          </cell>
          <cell r="AF127">
            <v>0</v>
          </cell>
          <cell r="AG127">
            <v>23.36</v>
          </cell>
          <cell r="AH127">
            <v>24.76</v>
          </cell>
          <cell r="AI127">
            <v>0</v>
          </cell>
          <cell r="AJ127">
            <v>25.07</v>
          </cell>
          <cell r="AK127">
            <v>25.37</v>
          </cell>
          <cell r="AL127">
            <v>0</v>
          </cell>
          <cell r="AM127">
            <v>24.76</v>
          </cell>
          <cell r="AN127">
            <v>0</v>
          </cell>
          <cell r="AO127">
            <v>32.29</v>
          </cell>
          <cell r="AP127">
            <v>34.229999999999997</v>
          </cell>
          <cell r="AQ127">
            <v>0</v>
          </cell>
          <cell r="AR127">
            <v>34.65</v>
          </cell>
          <cell r="AS127">
            <v>35.07</v>
          </cell>
          <cell r="AT127">
            <v>0</v>
          </cell>
          <cell r="AU127">
            <v>34.229999999999997</v>
          </cell>
          <cell r="AV127">
            <v>0</v>
          </cell>
          <cell r="AW127">
            <v>24.47</v>
          </cell>
          <cell r="AX127">
            <v>25.95</v>
          </cell>
          <cell r="AY127">
            <v>26.1</v>
          </cell>
          <cell r="AZ127">
            <v>26.26</v>
          </cell>
          <cell r="BA127">
            <v>26.59</v>
          </cell>
          <cell r="BB127">
            <v>26.59</v>
          </cell>
          <cell r="BC127">
            <v>25.95</v>
          </cell>
          <cell r="BD127">
            <v>0</v>
          </cell>
          <cell r="BE127">
            <v>33.83</v>
          </cell>
          <cell r="BF127">
            <v>35.869999999999997</v>
          </cell>
          <cell r="BG127">
            <v>36.08</v>
          </cell>
          <cell r="BH127">
            <v>36.31</v>
          </cell>
          <cell r="BI127">
            <v>36.76</v>
          </cell>
          <cell r="BJ127">
            <v>37.22</v>
          </cell>
          <cell r="BK127">
            <v>35.869999999999997</v>
          </cell>
        </row>
        <row r="128">
          <cell r="A128"/>
          <cell r="B128"/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/>
          <cell r="BG128"/>
          <cell r="BH128"/>
          <cell r="BI128"/>
          <cell r="BJ128"/>
          <cell r="BK128"/>
        </row>
        <row r="129">
          <cell r="A129">
            <v>7891721016189</v>
          </cell>
          <cell r="B129">
            <v>1008902540085</v>
          </cell>
          <cell r="C129">
            <v>525402507115410</v>
          </cell>
          <cell r="D129" t="str">
            <v>CLINFAR</v>
          </cell>
          <cell r="E129" t="str">
            <v>40 MG COM REV CT BL AL PLAS INC X 10  </v>
          </cell>
          <cell r="F129" t="str">
            <v>Comprimido revestido</v>
          </cell>
          <cell r="G129"/>
          <cell r="H129"/>
          <cell r="I129">
            <v>10</v>
          </cell>
          <cell r="J129"/>
          <cell r="K129" t="str">
            <v>Conformidade</v>
          </cell>
          <cell r="L129">
            <v>1</v>
          </cell>
          <cell r="M129" t="str">
            <v>Tarja Vermelha</v>
          </cell>
          <cell r="N129" t="str">
            <v>Não</v>
          </cell>
          <cell r="O129" t="str">
            <v>Não</v>
          </cell>
          <cell r="P129" t="str">
            <v>Sim</v>
          </cell>
          <cell r="Q129" t="str">
            <v>I</v>
          </cell>
          <cell r="R129"/>
          <cell r="S129" t="str">
            <v>Similar</v>
          </cell>
          <cell r="T129" t="str">
            <v>Monitorado</v>
          </cell>
          <cell r="U129"/>
          <cell r="V129" t="str">
            <v>79902-63-9</v>
          </cell>
          <cell r="W129"/>
          <cell r="X129"/>
          <cell r="Y129" t="str">
            <v>MG</v>
          </cell>
          <cell r="Z129">
            <v>8016</v>
          </cell>
          <cell r="AA129" t="str">
            <v>213 - ESTATINAS, INIBIDORES DA REDUTASE HMG-CoA</v>
          </cell>
          <cell r="AB129" t="str">
            <v>N</v>
          </cell>
          <cell r="AC129" t="str">
            <v>N</v>
          </cell>
          <cell r="AD129">
            <v>0</v>
          </cell>
          <cell r="AE129" t="str">
            <v>N</v>
          </cell>
          <cell r="AF129">
            <v>0</v>
          </cell>
          <cell r="AG129">
            <v>15.77</v>
          </cell>
          <cell r="AH129">
            <v>16.72</v>
          </cell>
          <cell r="AI129">
            <v>0</v>
          </cell>
          <cell r="AJ129">
            <v>16.920000000000002</v>
          </cell>
          <cell r="AK129">
            <v>17.13</v>
          </cell>
          <cell r="AL129">
            <v>0</v>
          </cell>
          <cell r="AM129">
            <v>16.72</v>
          </cell>
          <cell r="AN129">
            <v>0</v>
          </cell>
          <cell r="AO129">
            <v>21.8</v>
          </cell>
          <cell r="AP129">
            <v>23.11</v>
          </cell>
          <cell r="AQ129">
            <v>0</v>
          </cell>
          <cell r="AR129">
            <v>23.39</v>
          </cell>
          <cell r="AS129">
            <v>23.68</v>
          </cell>
          <cell r="AT129">
            <v>0</v>
          </cell>
          <cell r="AU129">
            <v>23.11</v>
          </cell>
          <cell r="AV129">
            <v>0</v>
          </cell>
          <cell r="AW129">
            <v>16.52</v>
          </cell>
          <cell r="AX129">
            <v>17.510000000000002</v>
          </cell>
          <cell r="AY129">
            <v>17.62</v>
          </cell>
          <cell r="AZ129">
            <v>17.73</v>
          </cell>
          <cell r="BA129">
            <v>17.940000000000001</v>
          </cell>
          <cell r="BB129">
            <v>17.940000000000001</v>
          </cell>
          <cell r="BC129">
            <v>17.510000000000002</v>
          </cell>
          <cell r="BD129">
            <v>0</v>
          </cell>
          <cell r="BE129">
            <v>22.84</v>
          </cell>
          <cell r="BF129">
            <v>24.21</v>
          </cell>
          <cell r="BG129">
            <v>24.36</v>
          </cell>
          <cell r="BH129">
            <v>24.5</v>
          </cell>
          <cell r="BI129">
            <v>24.8</v>
          </cell>
          <cell r="BJ129">
            <v>25.12</v>
          </cell>
          <cell r="BK129">
            <v>24.21</v>
          </cell>
        </row>
        <row r="130">
          <cell r="A130">
            <v>7891721016165</v>
          </cell>
          <cell r="B130">
            <v>1008902540093</v>
          </cell>
          <cell r="C130">
            <v>525402508111419</v>
          </cell>
          <cell r="D130" t="str">
            <v>CLINFAR</v>
          </cell>
          <cell r="E130" t="str">
            <v>40 MG COM REV CT BL AL PLAS INC X 30</v>
          </cell>
          <cell r="F130" t="str">
            <v>Comprimido revestido</v>
          </cell>
          <cell r="G130"/>
          <cell r="H130"/>
          <cell r="I130">
            <v>30</v>
          </cell>
          <cell r="J130"/>
          <cell r="K130" t="str">
            <v>Conformidade</v>
          </cell>
          <cell r="L130">
            <v>1</v>
          </cell>
          <cell r="M130" t="str">
            <v>Tarja Vermelha</v>
          </cell>
          <cell r="N130" t="str">
            <v>Não</v>
          </cell>
          <cell r="O130" t="str">
            <v>Não</v>
          </cell>
          <cell r="P130" t="str">
            <v>Sim</v>
          </cell>
          <cell r="Q130" t="str">
            <v>I</v>
          </cell>
          <cell r="R130"/>
          <cell r="S130" t="str">
            <v>Similar</v>
          </cell>
          <cell r="T130" t="str">
            <v>Monitorado</v>
          </cell>
          <cell r="U130"/>
          <cell r="V130" t="str">
            <v>79902-63-9</v>
          </cell>
          <cell r="W130"/>
          <cell r="X130"/>
          <cell r="Y130" t="str">
            <v>MG</v>
          </cell>
          <cell r="Z130">
            <v>8016</v>
          </cell>
          <cell r="AA130" t="str">
            <v>213 - ESTATINAS, INIBIDORES DA REDUTASE HMG-CoA</v>
          </cell>
          <cell r="AB130" t="str">
            <v>N</v>
          </cell>
          <cell r="AC130" t="str">
            <v>N</v>
          </cell>
          <cell r="AD130">
            <v>0</v>
          </cell>
          <cell r="AE130" t="str">
            <v>N</v>
          </cell>
          <cell r="AF130">
            <v>0</v>
          </cell>
          <cell r="AG130">
            <v>47.3</v>
          </cell>
          <cell r="AH130">
            <v>50.15</v>
          </cell>
          <cell r="AI130">
            <v>0</v>
          </cell>
          <cell r="AJ130">
            <v>50.76</v>
          </cell>
          <cell r="AK130">
            <v>51.39</v>
          </cell>
          <cell r="AL130">
            <v>0</v>
          </cell>
          <cell r="AM130">
            <v>50.15</v>
          </cell>
          <cell r="AN130">
            <v>0</v>
          </cell>
          <cell r="AO130">
            <v>65.39</v>
          </cell>
          <cell r="AP130">
            <v>69.33</v>
          </cell>
          <cell r="AQ130">
            <v>0</v>
          </cell>
          <cell r="AR130">
            <v>70.17</v>
          </cell>
          <cell r="AS130">
            <v>71.040000000000006</v>
          </cell>
          <cell r="AT130">
            <v>0</v>
          </cell>
          <cell r="AU130">
            <v>69.33</v>
          </cell>
          <cell r="AV130">
            <v>0</v>
          </cell>
          <cell r="AW130">
            <v>49.55</v>
          </cell>
          <cell r="AX130">
            <v>52.54</v>
          </cell>
          <cell r="AY130">
            <v>52.85</v>
          </cell>
          <cell r="AZ130">
            <v>53.18</v>
          </cell>
          <cell r="BA130">
            <v>53.83</v>
          </cell>
          <cell r="BB130">
            <v>53.83</v>
          </cell>
          <cell r="BC130">
            <v>52.54</v>
          </cell>
          <cell r="BD130">
            <v>0</v>
          </cell>
          <cell r="BE130">
            <v>68.5</v>
          </cell>
          <cell r="BF130">
            <v>72.63</v>
          </cell>
          <cell r="BG130">
            <v>73.06</v>
          </cell>
          <cell r="BH130">
            <v>73.510000000000005</v>
          </cell>
          <cell r="BI130">
            <v>74.42</v>
          </cell>
          <cell r="BJ130">
            <v>75.36</v>
          </cell>
          <cell r="BK130">
            <v>72.63</v>
          </cell>
        </row>
        <row r="131">
          <cell r="A131"/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</row>
        <row r="132">
          <cell r="A132">
            <v>7891721016172</v>
          </cell>
          <cell r="B132">
            <v>1008902540115</v>
          </cell>
          <cell r="C132">
            <v>525402505112414</v>
          </cell>
          <cell r="D132" t="str">
            <v>CLINFAR</v>
          </cell>
          <cell r="E132" t="str">
            <v>80 MG COM REV CT BL AL PLAS INC X 30</v>
          </cell>
          <cell r="F132" t="str">
            <v>Comprimido revestido</v>
          </cell>
          <cell r="G132"/>
          <cell r="H132"/>
          <cell r="I132">
            <v>30</v>
          </cell>
          <cell r="J132"/>
          <cell r="K132" t="str">
            <v>Conformidade</v>
          </cell>
          <cell r="L132">
            <v>1</v>
          </cell>
          <cell r="M132" t="str">
            <v>Tarja Vermelha</v>
          </cell>
          <cell r="N132" t="str">
            <v>Não</v>
          </cell>
          <cell r="O132" t="str">
            <v>Não</v>
          </cell>
          <cell r="P132" t="str">
            <v>Sim</v>
          </cell>
          <cell r="Q132" t="str">
            <v>I</v>
          </cell>
          <cell r="R132"/>
          <cell r="S132" t="str">
            <v>Similar</v>
          </cell>
          <cell r="T132" t="str">
            <v>Monitorado</v>
          </cell>
          <cell r="U132"/>
          <cell r="V132" t="str">
            <v>79902-63-9</v>
          </cell>
          <cell r="W132"/>
          <cell r="X132"/>
          <cell r="Y132" t="str">
            <v>MG</v>
          </cell>
          <cell r="Z132">
            <v>8016</v>
          </cell>
          <cell r="AA132" t="str">
            <v>213 - ESTATINAS, INIBIDORES DA REDUTASE HMG-CoA</v>
          </cell>
          <cell r="AB132" t="str">
            <v>N</v>
          </cell>
          <cell r="AC132" t="str">
            <v>N</v>
          </cell>
          <cell r="AD132">
            <v>0</v>
          </cell>
          <cell r="AE132" t="str">
            <v>N</v>
          </cell>
          <cell r="AF132">
            <v>0</v>
          </cell>
          <cell r="AG132">
            <v>64.66</v>
          </cell>
          <cell r="AH132">
            <v>68.55</v>
          </cell>
          <cell r="AI132">
            <v>0</v>
          </cell>
          <cell r="AJ132">
            <v>69.39</v>
          </cell>
          <cell r="AK132">
            <v>70.25</v>
          </cell>
          <cell r="AL132">
            <v>0</v>
          </cell>
          <cell r="AM132">
            <v>68.55</v>
          </cell>
          <cell r="AN132">
            <v>0</v>
          </cell>
          <cell r="AO132">
            <v>89.39</v>
          </cell>
          <cell r="AP132">
            <v>94.77</v>
          </cell>
          <cell r="AQ132">
            <v>0</v>
          </cell>
          <cell r="AR132">
            <v>95.93</v>
          </cell>
          <cell r="AS132">
            <v>97.12</v>
          </cell>
          <cell r="AT132">
            <v>0</v>
          </cell>
          <cell r="AU132">
            <v>94.77</v>
          </cell>
          <cell r="AV132">
            <v>0</v>
          </cell>
          <cell r="AW132">
            <v>67.739999999999995</v>
          </cell>
          <cell r="AX132">
            <v>71.819999999999993</v>
          </cell>
          <cell r="AY132">
            <v>72.25</v>
          </cell>
          <cell r="AZ132">
            <v>72.69</v>
          </cell>
          <cell r="BA132">
            <v>73.59</v>
          </cell>
          <cell r="BB132">
            <v>73.59</v>
          </cell>
          <cell r="BC132">
            <v>71.819999999999993</v>
          </cell>
          <cell r="BD132">
            <v>0</v>
          </cell>
          <cell r="BE132">
            <v>93.65</v>
          </cell>
          <cell r="BF132">
            <v>99.29</v>
          </cell>
          <cell r="BG132">
            <v>99.88</v>
          </cell>
          <cell r="BH132">
            <v>100.49</v>
          </cell>
          <cell r="BI132">
            <v>101.73</v>
          </cell>
          <cell r="BJ132">
            <v>103.01</v>
          </cell>
          <cell r="BK132">
            <v>99.29</v>
          </cell>
        </row>
        <row r="133">
          <cell r="A133"/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H133"/>
          <cell r="BI133"/>
          <cell r="BJ133"/>
          <cell r="BK133"/>
        </row>
        <row r="134">
          <cell r="A134">
            <v>7891721270581</v>
          </cell>
          <cell r="B134">
            <v>1008903150027</v>
          </cell>
          <cell r="C134">
            <v>525417902112117</v>
          </cell>
          <cell r="D134" t="str">
            <v>CLORIDRATO DE CIPROFLOXACINO</v>
          </cell>
          <cell r="E134" t="str">
            <v>500 MG COM REV CT BL AL PLAS INC X 14</v>
          </cell>
          <cell r="F134" t="str">
            <v>Comprimido revestido</v>
          </cell>
          <cell r="G134"/>
          <cell r="H134"/>
          <cell r="I134">
            <v>14</v>
          </cell>
          <cell r="J134"/>
          <cell r="K134" t="str">
            <v>Conformidade</v>
          </cell>
          <cell r="L134">
            <v>1</v>
          </cell>
          <cell r="M134" t="str">
            <v>Tarja Vermelha</v>
          </cell>
          <cell r="N134" t="str">
            <v>Não</v>
          </cell>
          <cell r="O134" t="str">
            <v>Não</v>
          </cell>
          <cell r="P134" t="str">
            <v>Sim</v>
          </cell>
          <cell r="Q134" t="str">
            <v>I</v>
          </cell>
          <cell r="R134"/>
          <cell r="S134" t="str">
            <v>Genérico</v>
          </cell>
          <cell r="T134" t="str">
            <v>Monitorado</v>
          </cell>
          <cell r="U134"/>
          <cell r="V134" t="str">
            <v>86393-32-0</v>
          </cell>
          <cell r="W134"/>
          <cell r="X134"/>
          <cell r="Y134" t="str">
            <v>MG</v>
          </cell>
          <cell r="Z134">
            <v>9410</v>
          </cell>
          <cell r="AA134" t="str">
            <v>315 - FLUORQUINOLONAS ORAIS</v>
          </cell>
          <cell r="AB134" t="str">
            <v>N</v>
          </cell>
          <cell r="AC134" t="str">
            <v>N</v>
          </cell>
          <cell r="AD134">
            <v>0</v>
          </cell>
          <cell r="AE134" t="str">
            <v>N</v>
          </cell>
          <cell r="AF134">
            <v>0</v>
          </cell>
          <cell r="AG134">
            <v>90.95</v>
          </cell>
          <cell r="AH134">
            <v>96.43</v>
          </cell>
          <cell r="AI134">
            <v>0</v>
          </cell>
          <cell r="AJ134">
            <v>97.61</v>
          </cell>
          <cell r="AK134">
            <v>98.81</v>
          </cell>
          <cell r="AL134">
            <v>0</v>
          </cell>
          <cell r="AM134">
            <v>96.43</v>
          </cell>
          <cell r="AN134">
            <v>0</v>
          </cell>
          <cell r="AO134">
            <v>125.73</v>
          </cell>
          <cell r="AP134">
            <v>133.31</v>
          </cell>
          <cell r="AQ134">
            <v>0</v>
          </cell>
          <cell r="AR134">
            <v>134.93</v>
          </cell>
          <cell r="AS134">
            <v>136.6</v>
          </cell>
          <cell r="AT134">
            <v>0</v>
          </cell>
          <cell r="AU134">
            <v>133.31</v>
          </cell>
          <cell r="AV134">
            <v>0</v>
          </cell>
          <cell r="AW134">
            <v>95.28</v>
          </cell>
          <cell r="AX134">
            <v>101.02</v>
          </cell>
          <cell r="AY134">
            <v>101.64</v>
          </cell>
          <cell r="AZ134">
            <v>102.26</v>
          </cell>
          <cell r="BA134">
            <v>103.52</v>
          </cell>
          <cell r="BB134">
            <v>103.52</v>
          </cell>
          <cell r="BC134">
            <v>101.02</v>
          </cell>
          <cell r="BD134">
            <v>0</v>
          </cell>
          <cell r="BE134">
            <v>131.72</v>
          </cell>
          <cell r="BF134">
            <v>139.65</v>
          </cell>
          <cell r="BG134">
            <v>140.51</v>
          </cell>
          <cell r="BH134">
            <v>141.36000000000001</v>
          </cell>
          <cell r="BI134">
            <v>143.11000000000001</v>
          </cell>
          <cell r="BJ134">
            <v>144.88999999999999</v>
          </cell>
          <cell r="BK134">
            <v>139.65</v>
          </cell>
        </row>
        <row r="135">
          <cell r="A135">
            <v>7891721270574</v>
          </cell>
          <cell r="B135">
            <v>1008903150019</v>
          </cell>
          <cell r="C135">
            <v>525417901116119</v>
          </cell>
          <cell r="D135" t="str">
            <v>CLORIDRATO DE CIPROFLOXACINO</v>
          </cell>
          <cell r="E135" t="str">
            <v>500 MG COM REV CT BL AL PLAS INC X 6 </v>
          </cell>
          <cell r="F135" t="str">
            <v>Comprimido revestido</v>
          </cell>
          <cell r="G135"/>
          <cell r="H135"/>
          <cell r="I135">
            <v>6</v>
          </cell>
          <cell r="J135"/>
          <cell r="K135" t="str">
            <v>Conformidade</v>
          </cell>
          <cell r="L135">
            <v>1</v>
          </cell>
          <cell r="M135" t="str">
            <v>Tarja Vermelha</v>
          </cell>
          <cell r="N135" t="str">
            <v>Não</v>
          </cell>
          <cell r="O135" t="str">
            <v>Não</v>
          </cell>
          <cell r="P135" t="str">
            <v>Sim</v>
          </cell>
          <cell r="Q135" t="str">
            <v>I</v>
          </cell>
          <cell r="R135"/>
          <cell r="S135" t="str">
            <v>Genérico</v>
          </cell>
          <cell r="T135" t="str">
            <v>Monitorado</v>
          </cell>
          <cell r="U135"/>
          <cell r="V135" t="str">
            <v>86393-32-0</v>
          </cell>
          <cell r="W135"/>
          <cell r="X135"/>
          <cell r="Y135" t="str">
            <v>MG</v>
          </cell>
          <cell r="Z135">
            <v>9410</v>
          </cell>
          <cell r="AA135" t="str">
            <v>315 - FLUORQUINOLONAS ORAIS</v>
          </cell>
          <cell r="AB135" t="str">
            <v>N</v>
          </cell>
          <cell r="AC135" t="str">
            <v>N</v>
          </cell>
          <cell r="AD135">
            <v>0</v>
          </cell>
          <cell r="AE135" t="str">
            <v>N</v>
          </cell>
          <cell r="AF135">
            <v>0</v>
          </cell>
          <cell r="AG135">
            <v>38.94</v>
          </cell>
          <cell r="AH135">
            <v>41.29</v>
          </cell>
          <cell r="AI135">
            <v>0</v>
          </cell>
          <cell r="AJ135">
            <v>41.79</v>
          </cell>
          <cell r="AK135">
            <v>42.31</v>
          </cell>
          <cell r="AL135">
            <v>0</v>
          </cell>
          <cell r="AM135">
            <v>41.29</v>
          </cell>
          <cell r="AN135">
            <v>0</v>
          </cell>
          <cell r="AO135">
            <v>53.83</v>
          </cell>
          <cell r="AP135">
            <v>57.08</v>
          </cell>
          <cell r="AQ135">
            <v>0</v>
          </cell>
          <cell r="AR135">
            <v>57.78</v>
          </cell>
          <cell r="AS135">
            <v>58.49</v>
          </cell>
          <cell r="AT135">
            <v>0</v>
          </cell>
          <cell r="AU135">
            <v>57.08</v>
          </cell>
          <cell r="AV135">
            <v>0</v>
          </cell>
          <cell r="AW135">
            <v>40.79</v>
          </cell>
          <cell r="AX135">
            <v>43.25</v>
          </cell>
          <cell r="AY135">
            <v>43.51</v>
          </cell>
          <cell r="AZ135">
            <v>43.78</v>
          </cell>
          <cell r="BA135">
            <v>44.32</v>
          </cell>
          <cell r="BB135">
            <v>44.32</v>
          </cell>
          <cell r="BC135">
            <v>43.25</v>
          </cell>
          <cell r="BD135">
            <v>0</v>
          </cell>
          <cell r="BE135">
            <v>56.39</v>
          </cell>
          <cell r="BF135">
            <v>59.79</v>
          </cell>
          <cell r="BG135">
            <v>60.15</v>
          </cell>
          <cell r="BH135">
            <v>60.52</v>
          </cell>
          <cell r="BI135">
            <v>61.27</v>
          </cell>
          <cell r="BJ135">
            <v>62.03</v>
          </cell>
          <cell r="BK135">
            <v>59.79</v>
          </cell>
        </row>
        <row r="136">
          <cell r="A136">
            <v>7891721274022</v>
          </cell>
          <cell r="B136">
            <v>1008903860032</v>
          </cell>
          <cell r="C136">
            <v>525415120047106</v>
          </cell>
          <cell r="D136" t="str">
            <v>CLORIDRATO DE FLUOXETINA</v>
          </cell>
          <cell r="E136" t="str">
            <v>20 MG COM REV CT BL AL PLAS INC X 28</v>
          </cell>
          <cell r="F136" t="str">
            <v>Comprimido revestido</v>
          </cell>
          <cell r="G136"/>
          <cell r="H136"/>
          <cell r="I136">
            <v>28</v>
          </cell>
          <cell r="J136"/>
          <cell r="K136" t="str">
            <v>Conformidade</v>
          </cell>
          <cell r="L136">
            <v>1</v>
          </cell>
          <cell r="M136" t="str">
            <v>Tarja Vermelha</v>
          </cell>
          <cell r="N136" t="str">
            <v>Não</v>
          </cell>
          <cell r="O136" t="str">
            <v>Não</v>
          </cell>
          <cell r="P136" t="str">
            <v>Não</v>
          </cell>
          <cell r="Q136" t="str">
            <v>I</v>
          </cell>
          <cell r="R136"/>
          <cell r="S136" t="str">
            <v>Genérico</v>
          </cell>
          <cell r="T136" t="str">
            <v>Monitorado</v>
          </cell>
          <cell r="U136"/>
          <cell r="V136" t="str">
            <v>56296-78-7</v>
          </cell>
          <cell r="W136"/>
          <cell r="X136"/>
          <cell r="Y136"/>
          <cell r="Z136">
            <v>4177</v>
          </cell>
          <cell r="AA136" t="str">
            <v>504 - ANTI-DEPRESSIVOS SSRI</v>
          </cell>
          <cell r="AB136" t="str">
            <v>N</v>
          </cell>
          <cell r="AC136" t="str">
            <v>N</v>
          </cell>
          <cell r="AD136"/>
          <cell r="AE136" t="str">
            <v>S</v>
          </cell>
          <cell r="AF136">
            <v>0</v>
          </cell>
          <cell r="AG136">
            <v>24.08</v>
          </cell>
          <cell r="AH136">
            <v>25.53</v>
          </cell>
          <cell r="AI136">
            <v>0</v>
          </cell>
          <cell r="AJ136">
            <v>25.84</v>
          </cell>
          <cell r="AK136">
            <v>26.16</v>
          </cell>
          <cell r="AL136">
            <v>0</v>
          </cell>
          <cell r="AM136">
            <v>25.53</v>
          </cell>
          <cell r="AN136">
            <v>0</v>
          </cell>
          <cell r="AO136">
            <v>33.29</v>
          </cell>
          <cell r="AP136">
            <v>35.29</v>
          </cell>
          <cell r="AQ136">
            <v>0</v>
          </cell>
          <cell r="AR136">
            <v>35.72</v>
          </cell>
          <cell r="AS136">
            <v>36.159999999999997</v>
          </cell>
          <cell r="AT136">
            <v>0</v>
          </cell>
          <cell r="AU136">
            <v>35.29</v>
          </cell>
          <cell r="AV136">
            <v>0</v>
          </cell>
          <cell r="AW136">
            <v>25.22</v>
          </cell>
          <cell r="AX136">
            <v>26.74</v>
          </cell>
          <cell r="AY136">
            <v>26.9</v>
          </cell>
          <cell r="AZ136">
            <v>27.07</v>
          </cell>
          <cell r="BA136">
            <v>27.4</v>
          </cell>
          <cell r="BB136">
            <v>27.4</v>
          </cell>
          <cell r="BC136">
            <v>26.74</v>
          </cell>
          <cell r="BD136">
            <v>0</v>
          </cell>
          <cell r="BE136">
            <v>34.869999999999997</v>
          </cell>
          <cell r="BF136">
            <v>36.97</v>
          </cell>
          <cell r="BG136">
            <v>37.19</v>
          </cell>
          <cell r="BH136">
            <v>37.42</v>
          </cell>
          <cell r="BI136">
            <v>37.880000000000003</v>
          </cell>
          <cell r="BJ136">
            <v>38.36</v>
          </cell>
          <cell r="BK136">
            <v>36.97</v>
          </cell>
        </row>
        <row r="137">
          <cell r="A137"/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/>
          <cell r="BG137"/>
          <cell r="BH137"/>
          <cell r="BI137"/>
          <cell r="BJ137"/>
          <cell r="BK137"/>
        </row>
        <row r="138">
          <cell r="A138">
            <v>7891721238253</v>
          </cell>
          <cell r="B138">
            <v>1008902750063</v>
          </cell>
          <cell r="C138">
            <v>525402605117108</v>
          </cell>
          <cell r="D138" t="str">
            <v>CLORIDRATO DE METFORMINA</v>
          </cell>
          <cell r="E138" t="str">
            <v>1G COM REV CT BL AL PLAS INC X 30 </v>
          </cell>
          <cell r="F138" t="str">
            <v>Comprimido revestido</v>
          </cell>
          <cell r="G138"/>
          <cell r="H138"/>
          <cell r="I138">
            <v>30</v>
          </cell>
          <cell r="J138"/>
          <cell r="K138" t="str">
            <v>Conformidade</v>
          </cell>
          <cell r="L138">
            <v>3</v>
          </cell>
          <cell r="M138" t="str">
            <v>Tarja Vermelha</v>
          </cell>
          <cell r="N138" t="str">
            <v>Não</v>
          </cell>
          <cell r="O138" t="str">
            <v>Não</v>
          </cell>
          <cell r="P138" t="str">
            <v>Não</v>
          </cell>
          <cell r="Q138" t="str">
            <v>I</v>
          </cell>
          <cell r="R138"/>
          <cell r="S138" t="str">
            <v>Genérico</v>
          </cell>
          <cell r="T138" t="str">
            <v>Monitorado</v>
          </cell>
          <cell r="U138"/>
          <cell r="V138" t="str">
            <v>1115-70-4</v>
          </cell>
          <cell r="W138"/>
          <cell r="X138"/>
          <cell r="Y138" t="str">
            <v>G</v>
          </cell>
          <cell r="Z138">
            <v>5782</v>
          </cell>
          <cell r="AA138" t="str">
            <v>65 - ANTIDIABÉTICOS BIGUANIDAS PUROS</v>
          </cell>
          <cell r="AB138" t="str">
            <v>N</v>
          </cell>
          <cell r="AC138" t="str">
            <v>N</v>
          </cell>
          <cell r="AD138">
            <v>0</v>
          </cell>
          <cell r="AE138" t="str">
            <v>N</v>
          </cell>
          <cell r="AF138">
            <v>0</v>
          </cell>
          <cell r="AG138">
            <v>16</v>
          </cell>
          <cell r="AH138">
            <v>16.96</v>
          </cell>
          <cell r="AI138">
            <v>0</v>
          </cell>
          <cell r="AJ138">
            <v>17.170000000000002</v>
          </cell>
          <cell r="AK138">
            <v>17.38</v>
          </cell>
          <cell r="AL138">
            <v>0</v>
          </cell>
          <cell r="AM138">
            <v>16.96</v>
          </cell>
          <cell r="AN138">
            <v>0</v>
          </cell>
          <cell r="AO138">
            <v>22.12</v>
          </cell>
          <cell r="AP138">
            <v>23.45</v>
          </cell>
          <cell r="AQ138">
            <v>0</v>
          </cell>
          <cell r="AR138">
            <v>23.73</v>
          </cell>
          <cell r="AS138">
            <v>24.03</v>
          </cell>
          <cell r="AT138">
            <v>0</v>
          </cell>
          <cell r="AU138">
            <v>23.45</v>
          </cell>
          <cell r="AV138">
            <v>0</v>
          </cell>
          <cell r="AW138">
            <v>16.22</v>
          </cell>
          <cell r="AX138">
            <v>17.190000000000001</v>
          </cell>
          <cell r="AY138">
            <v>17.3</v>
          </cell>
          <cell r="AZ138">
            <v>17.399999999999999</v>
          </cell>
          <cell r="BA138">
            <v>17.62</v>
          </cell>
          <cell r="BB138">
            <v>17.62</v>
          </cell>
          <cell r="BC138">
            <v>17.190000000000001</v>
          </cell>
          <cell r="BD138">
            <v>0</v>
          </cell>
          <cell r="BE138">
            <v>22.42</v>
          </cell>
          <cell r="BF138">
            <v>23.76</v>
          </cell>
          <cell r="BG138">
            <v>23.92</v>
          </cell>
          <cell r="BH138">
            <v>24.06</v>
          </cell>
          <cell r="BI138">
            <v>24.36</v>
          </cell>
          <cell r="BJ138">
            <v>24.66</v>
          </cell>
          <cell r="BK138">
            <v>23.76</v>
          </cell>
        </row>
        <row r="139">
          <cell r="A139"/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/>
          <cell r="BH139"/>
          <cell r="BI139"/>
          <cell r="BJ139"/>
          <cell r="BK139"/>
        </row>
        <row r="140">
          <cell r="A140">
            <v>7891721022722</v>
          </cell>
          <cell r="B140">
            <v>1008903790034</v>
          </cell>
          <cell r="C140">
            <v>525415070045706</v>
          </cell>
          <cell r="D140" t="str">
            <v>CLORIDRATO DE METFORMINA</v>
          </cell>
          <cell r="E140" t="str">
            <v>500 MG COM AP CT BL AL PLAS INC X 30</v>
          </cell>
          <cell r="F140"/>
          <cell r="G140"/>
          <cell r="H140"/>
          <cell r="I140"/>
          <cell r="J140"/>
          <cell r="K140" t="str">
            <v>Conformidade</v>
          </cell>
          <cell r="L140">
            <v>3</v>
          </cell>
          <cell r="M140" t="str">
            <v>Tarja Vermelha</v>
          </cell>
          <cell r="N140" t="str">
            <v>Não</v>
          </cell>
          <cell r="O140" t="str">
            <v>Não</v>
          </cell>
          <cell r="P140" t="str">
            <v>Não</v>
          </cell>
          <cell r="Q140" t="str">
            <v>I</v>
          </cell>
          <cell r="R140"/>
          <cell r="S140" t="str">
            <v>Genérico</v>
          </cell>
          <cell r="T140" t="str">
            <v>Monitorado</v>
          </cell>
          <cell r="U140"/>
          <cell r="V140" t="str">
            <v>1115-70-4</v>
          </cell>
          <cell r="W140"/>
          <cell r="X140"/>
          <cell r="Y140"/>
          <cell r="Z140">
            <v>5782</v>
          </cell>
          <cell r="AA140" t="str">
            <v>65 - ANTIDIABÉTICOS BIGUANIDAS PUROS</v>
          </cell>
          <cell r="AB140" t="str">
            <v>N</v>
          </cell>
          <cell r="AC140" t="str">
            <v>N</v>
          </cell>
          <cell r="AD140"/>
          <cell r="AE140" t="str">
            <v>N</v>
          </cell>
          <cell r="AF140">
            <v>0</v>
          </cell>
          <cell r="AG140">
            <v>6.11</v>
          </cell>
          <cell r="AH140">
            <v>6.48</v>
          </cell>
          <cell r="AI140">
            <v>0</v>
          </cell>
          <cell r="AJ140">
            <v>6.56</v>
          </cell>
          <cell r="AK140">
            <v>6.64</v>
          </cell>
          <cell r="AL140">
            <v>0</v>
          </cell>
          <cell r="AM140">
            <v>6.48</v>
          </cell>
          <cell r="AN140">
            <v>0</v>
          </cell>
          <cell r="AO140">
            <v>8.4499999999999993</v>
          </cell>
          <cell r="AP140">
            <v>8.9600000000000009</v>
          </cell>
          <cell r="AQ140">
            <v>0</v>
          </cell>
          <cell r="AR140">
            <v>9.07</v>
          </cell>
          <cell r="AS140">
            <v>9.18</v>
          </cell>
          <cell r="AT140">
            <v>0</v>
          </cell>
          <cell r="AU140">
            <v>8.9600000000000009</v>
          </cell>
          <cell r="AV140">
            <v>0</v>
          </cell>
          <cell r="AW140">
            <v>6.2</v>
          </cell>
          <cell r="AX140">
            <v>6.57</v>
          </cell>
          <cell r="AY140">
            <v>6.61</v>
          </cell>
          <cell r="AZ140">
            <v>6.65</v>
          </cell>
          <cell r="BA140">
            <v>6.73</v>
          </cell>
          <cell r="BB140">
            <v>6.73</v>
          </cell>
          <cell r="BC140">
            <v>6.57</v>
          </cell>
          <cell r="BD140">
            <v>0</v>
          </cell>
          <cell r="BE140">
            <v>8.57</v>
          </cell>
          <cell r="BF140">
            <v>9.08</v>
          </cell>
          <cell r="BG140">
            <v>9.14</v>
          </cell>
          <cell r="BH140">
            <v>9.19</v>
          </cell>
          <cell r="BI140">
            <v>9.3000000000000007</v>
          </cell>
          <cell r="BJ140">
            <v>9.43</v>
          </cell>
          <cell r="BK140">
            <v>9.08</v>
          </cell>
        </row>
        <row r="141">
          <cell r="A141"/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/>
          <cell r="BH141"/>
          <cell r="BI141"/>
          <cell r="BJ141"/>
          <cell r="BK141"/>
        </row>
        <row r="142">
          <cell r="A142">
            <v>7891721238123</v>
          </cell>
          <cell r="B142">
            <v>1008902750020</v>
          </cell>
          <cell r="C142">
            <v>525402602118111</v>
          </cell>
          <cell r="D142" t="str">
            <v>CLORIDRATO DE METFORMINA</v>
          </cell>
          <cell r="E142" t="str">
            <v>500 MG COM REV CT BL AL PLAS INC X 30</v>
          </cell>
          <cell r="F142" t="str">
            <v>Comprimido revestido</v>
          </cell>
          <cell r="G142"/>
          <cell r="H142"/>
          <cell r="I142">
            <v>30</v>
          </cell>
          <cell r="J142"/>
          <cell r="K142" t="str">
            <v>Conformidade</v>
          </cell>
          <cell r="L142">
            <v>3</v>
          </cell>
          <cell r="M142" t="str">
            <v>Tarja Vermelha</v>
          </cell>
          <cell r="N142" t="str">
            <v>Não</v>
          </cell>
          <cell r="O142" t="str">
            <v>Não</v>
          </cell>
          <cell r="P142" t="str">
            <v>Não</v>
          </cell>
          <cell r="Q142" t="str">
            <v>I</v>
          </cell>
          <cell r="R142"/>
          <cell r="S142" t="str">
            <v>Genérico</v>
          </cell>
          <cell r="T142" t="str">
            <v>Monitorado</v>
          </cell>
          <cell r="U142"/>
          <cell r="V142" t="str">
            <v>1115-70-4</v>
          </cell>
          <cell r="W142"/>
          <cell r="X142"/>
          <cell r="Y142" t="str">
            <v>MG</v>
          </cell>
          <cell r="Z142">
            <v>5782</v>
          </cell>
          <cell r="AA142" t="str">
            <v>65 - ANTIDIABÉTICOS BIGUANIDAS PUROS</v>
          </cell>
          <cell r="AB142" t="str">
            <v>N</v>
          </cell>
          <cell r="AC142" t="str">
            <v>N</v>
          </cell>
          <cell r="AD142">
            <v>0</v>
          </cell>
          <cell r="AE142" t="str">
            <v>N</v>
          </cell>
          <cell r="AF142">
            <v>0</v>
          </cell>
          <cell r="AG142">
            <v>8.56</v>
          </cell>
          <cell r="AH142">
            <v>9.08</v>
          </cell>
          <cell r="AI142">
            <v>0</v>
          </cell>
          <cell r="AJ142">
            <v>9.19</v>
          </cell>
          <cell r="AK142">
            <v>9.3000000000000007</v>
          </cell>
          <cell r="AL142">
            <v>0</v>
          </cell>
          <cell r="AM142">
            <v>9.08</v>
          </cell>
          <cell r="AN142">
            <v>0</v>
          </cell>
          <cell r="AO142">
            <v>11.83</v>
          </cell>
          <cell r="AP142">
            <v>12.55</v>
          </cell>
          <cell r="AQ142">
            <v>0</v>
          </cell>
          <cell r="AR142">
            <v>12.71</v>
          </cell>
          <cell r="AS142">
            <v>12.86</v>
          </cell>
          <cell r="AT142">
            <v>0</v>
          </cell>
          <cell r="AU142">
            <v>12.55</v>
          </cell>
          <cell r="AV142">
            <v>0</v>
          </cell>
          <cell r="AW142">
            <v>8.68</v>
          </cell>
          <cell r="AX142">
            <v>9.1999999999999993</v>
          </cell>
          <cell r="AY142">
            <v>9.26</v>
          </cell>
          <cell r="AZ142">
            <v>9.31</v>
          </cell>
          <cell r="BA142">
            <v>9.43</v>
          </cell>
          <cell r="BB142">
            <v>9.43</v>
          </cell>
          <cell r="BC142">
            <v>9.1999999999999993</v>
          </cell>
          <cell r="BD142">
            <v>0</v>
          </cell>
          <cell r="BE142">
            <v>12</v>
          </cell>
          <cell r="BF142">
            <v>12.72</v>
          </cell>
          <cell r="BG142">
            <v>12.8</v>
          </cell>
          <cell r="BH142">
            <v>12.88</v>
          </cell>
          <cell r="BI142">
            <v>13.04</v>
          </cell>
          <cell r="BJ142">
            <v>13.2</v>
          </cell>
          <cell r="BK142">
            <v>12.72</v>
          </cell>
        </row>
        <row r="143">
          <cell r="A143"/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  <cell r="AQ143"/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/>
          <cell r="BH143"/>
          <cell r="BI143"/>
          <cell r="BJ143"/>
          <cell r="BK143"/>
        </row>
        <row r="144">
          <cell r="A144">
            <v>7891721238239</v>
          </cell>
          <cell r="B144">
            <v>1008902750039</v>
          </cell>
          <cell r="C144">
            <v>525402601111113</v>
          </cell>
          <cell r="D144" t="str">
            <v>CLORIDRATO DE METFORMINA</v>
          </cell>
          <cell r="E144" t="str">
            <v>500 MG COM REV CT BL AL PLAS INC X 60</v>
          </cell>
          <cell r="F144" t="str">
            <v>Comprimido revestido</v>
          </cell>
          <cell r="G144"/>
          <cell r="H144"/>
          <cell r="I144">
            <v>60</v>
          </cell>
          <cell r="J144"/>
          <cell r="K144" t="str">
            <v>Conformidade</v>
          </cell>
          <cell r="L144">
            <v>3</v>
          </cell>
          <cell r="M144" t="str">
            <v>Tarja Vermelha</v>
          </cell>
          <cell r="N144" t="str">
            <v>Não</v>
          </cell>
          <cell r="O144" t="str">
            <v>Não</v>
          </cell>
          <cell r="P144" t="str">
            <v>Não</v>
          </cell>
          <cell r="Q144" t="str">
            <v>I</v>
          </cell>
          <cell r="R144"/>
          <cell r="S144" t="str">
            <v>Genérico</v>
          </cell>
          <cell r="T144" t="str">
            <v>Monitorado</v>
          </cell>
          <cell r="U144"/>
          <cell r="V144" t="str">
            <v>1115-70-4</v>
          </cell>
          <cell r="W144"/>
          <cell r="X144"/>
          <cell r="Y144" t="str">
            <v>MG</v>
          </cell>
          <cell r="Z144">
            <v>5782</v>
          </cell>
          <cell r="AA144" t="str">
            <v>65 - ANTIDIABÉTICOS BIGUANIDAS PUROS</v>
          </cell>
          <cell r="AB144" t="str">
            <v>N</v>
          </cell>
          <cell r="AC144" t="str">
            <v>N</v>
          </cell>
          <cell r="AD144">
            <v>0</v>
          </cell>
          <cell r="AE144" t="str">
            <v>N</v>
          </cell>
          <cell r="AF144">
            <v>0</v>
          </cell>
          <cell r="AG144">
            <v>15.92</v>
          </cell>
          <cell r="AH144">
            <v>16.88</v>
          </cell>
          <cell r="AI144">
            <v>0</v>
          </cell>
          <cell r="AJ144">
            <v>17.09</v>
          </cell>
          <cell r="AK144">
            <v>17.3</v>
          </cell>
          <cell r="AL144">
            <v>0</v>
          </cell>
          <cell r="AM144">
            <v>16.88</v>
          </cell>
          <cell r="AN144">
            <v>0</v>
          </cell>
          <cell r="AO144">
            <v>22.01</v>
          </cell>
          <cell r="AP144">
            <v>23.34</v>
          </cell>
          <cell r="AQ144">
            <v>0</v>
          </cell>
          <cell r="AR144">
            <v>23.62</v>
          </cell>
          <cell r="AS144">
            <v>23.92</v>
          </cell>
          <cell r="AT144">
            <v>0</v>
          </cell>
          <cell r="AU144">
            <v>23.34</v>
          </cell>
          <cell r="AV144">
            <v>0</v>
          </cell>
          <cell r="AW144">
            <v>16.14</v>
          </cell>
          <cell r="AX144">
            <v>17.11</v>
          </cell>
          <cell r="AY144">
            <v>17.22</v>
          </cell>
          <cell r="AZ144">
            <v>17.32</v>
          </cell>
          <cell r="BA144">
            <v>17.54</v>
          </cell>
          <cell r="BB144">
            <v>17.54</v>
          </cell>
          <cell r="BC144">
            <v>17.11</v>
          </cell>
          <cell r="BD144">
            <v>0</v>
          </cell>
          <cell r="BE144">
            <v>22.31</v>
          </cell>
          <cell r="BF144">
            <v>23.65</v>
          </cell>
          <cell r="BG144">
            <v>23.81</v>
          </cell>
          <cell r="BH144">
            <v>23.95</v>
          </cell>
          <cell r="BI144">
            <v>24.25</v>
          </cell>
          <cell r="BJ144">
            <v>24.55</v>
          </cell>
          <cell r="BK144">
            <v>23.65</v>
          </cell>
        </row>
        <row r="145">
          <cell r="A145"/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</row>
        <row r="146">
          <cell r="A146">
            <v>7891721025334</v>
          </cell>
          <cell r="B146">
            <v>1008903790123</v>
          </cell>
          <cell r="C146">
            <v>525415070045806</v>
          </cell>
          <cell r="D146" t="str">
            <v>CLORIDRATO DE METFORMINA</v>
          </cell>
          <cell r="E146" t="str">
            <v>750 MG COM AP CT BL AL PLAS INC X 30</v>
          </cell>
          <cell r="F146"/>
          <cell r="G146"/>
          <cell r="H146"/>
          <cell r="I146"/>
          <cell r="J146"/>
          <cell r="K146" t="str">
            <v>Conformidade</v>
          </cell>
          <cell r="L146">
            <v>3</v>
          </cell>
          <cell r="M146" t="str">
            <v>Tarja Vermelha</v>
          </cell>
          <cell r="N146" t="str">
            <v>Não</v>
          </cell>
          <cell r="O146" t="str">
            <v>Não</v>
          </cell>
          <cell r="P146" t="str">
            <v>Não</v>
          </cell>
          <cell r="Q146" t="str">
            <v>I</v>
          </cell>
          <cell r="R146"/>
          <cell r="S146" t="str">
            <v>Genérico</v>
          </cell>
          <cell r="T146" t="str">
            <v>Monitorado</v>
          </cell>
          <cell r="U146"/>
          <cell r="V146" t="str">
            <v>1115-70-4</v>
          </cell>
          <cell r="W146"/>
          <cell r="X146"/>
          <cell r="Y146"/>
          <cell r="Z146">
            <v>5782</v>
          </cell>
          <cell r="AA146" t="str">
            <v>65 - ANTIDIABÉTICOS BIGUANIDAS PUROS</v>
          </cell>
          <cell r="AB146" t="str">
            <v>N</v>
          </cell>
          <cell r="AC146" t="str">
            <v>N</v>
          </cell>
          <cell r="AD146"/>
          <cell r="AE146" t="str">
            <v>N</v>
          </cell>
          <cell r="AF146">
            <v>0</v>
          </cell>
          <cell r="AG146">
            <v>12.14</v>
          </cell>
          <cell r="AH146">
            <v>12.87</v>
          </cell>
          <cell r="AI146">
            <v>0</v>
          </cell>
          <cell r="AJ146">
            <v>13.03</v>
          </cell>
          <cell r="AK146">
            <v>13.19</v>
          </cell>
          <cell r="AL146">
            <v>0</v>
          </cell>
          <cell r="AM146">
            <v>12.87</v>
          </cell>
          <cell r="AN146">
            <v>0</v>
          </cell>
          <cell r="AO146">
            <v>16.78</v>
          </cell>
          <cell r="AP146">
            <v>17.79</v>
          </cell>
          <cell r="AQ146">
            <v>0</v>
          </cell>
          <cell r="AR146">
            <v>18.010000000000002</v>
          </cell>
          <cell r="AS146">
            <v>18.23</v>
          </cell>
          <cell r="AT146">
            <v>0</v>
          </cell>
          <cell r="AU146">
            <v>17.79</v>
          </cell>
          <cell r="AV146">
            <v>0</v>
          </cell>
          <cell r="AW146">
            <v>12.31</v>
          </cell>
          <cell r="AX146">
            <v>13.05</v>
          </cell>
          <cell r="AY146">
            <v>13.13</v>
          </cell>
          <cell r="AZ146">
            <v>13.21</v>
          </cell>
          <cell r="BA146">
            <v>13.37</v>
          </cell>
          <cell r="BB146">
            <v>13.37</v>
          </cell>
          <cell r="BC146">
            <v>13.05</v>
          </cell>
          <cell r="BD146">
            <v>0</v>
          </cell>
          <cell r="BE146">
            <v>17.02</v>
          </cell>
          <cell r="BF146">
            <v>18.04</v>
          </cell>
          <cell r="BG146">
            <v>18.149999999999999</v>
          </cell>
          <cell r="BH146">
            <v>18.260000000000002</v>
          </cell>
          <cell r="BI146">
            <v>18.48</v>
          </cell>
          <cell r="BJ146">
            <v>18.72</v>
          </cell>
          <cell r="BK146">
            <v>18.04</v>
          </cell>
        </row>
        <row r="147">
          <cell r="A147"/>
          <cell r="B147"/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</row>
        <row r="148">
          <cell r="A148">
            <v>7891721027406</v>
          </cell>
          <cell r="B148">
            <v>1008902750012</v>
          </cell>
          <cell r="C148">
            <v>525402603114111</v>
          </cell>
          <cell r="D148" t="str">
            <v>CLORIDRATO DE METFORMINA</v>
          </cell>
          <cell r="E148" t="str">
            <v>850 MG COM REV CT BL AL PLAS INC X 30 </v>
          </cell>
          <cell r="F148" t="str">
            <v>Comprimido revestido</v>
          </cell>
          <cell r="G148"/>
          <cell r="H148"/>
          <cell r="I148">
            <v>30</v>
          </cell>
          <cell r="J148"/>
          <cell r="K148" t="str">
            <v>Conformidade</v>
          </cell>
          <cell r="L148">
            <v>3</v>
          </cell>
          <cell r="M148" t="str">
            <v>Tarja Vermelha</v>
          </cell>
          <cell r="N148" t="str">
            <v>Não</v>
          </cell>
          <cell r="O148" t="str">
            <v>Não</v>
          </cell>
          <cell r="P148" t="str">
            <v>Não</v>
          </cell>
          <cell r="Q148" t="str">
            <v>I</v>
          </cell>
          <cell r="R148"/>
          <cell r="S148" t="str">
            <v>Genérico</v>
          </cell>
          <cell r="T148" t="str">
            <v>Monitorado</v>
          </cell>
          <cell r="U148"/>
          <cell r="V148" t="str">
            <v>1115-70-4</v>
          </cell>
          <cell r="W148"/>
          <cell r="X148"/>
          <cell r="Y148" t="str">
            <v>MG</v>
          </cell>
          <cell r="Z148">
            <v>5782</v>
          </cell>
          <cell r="AA148" t="str">
            <v>65 - ANTIDIABÉTICOS BIGUANIDAS PUROS</v>
          </cell>
          <cell r="AB148" t="str">
            <v>N</v>
          </cell>
          <cell r="AC148" t="str">
            <v>N</v>
          </cell>
          <cell r="AD148">
            <v>0</v>
          </cell>
          <cell r="AE148" t="str">
            <v>N</v>
          </cell>
          <cell r="AF148">
            <v>0</v>
          </cell>
          <cell r="AG148">
            <v>11.64</v>
          </cell>
          <cell r="AH148">
            <v>12.34</v>
          </cell>
          <cell r="AI148">
            <v>0</v>
          </cell>
          <cell r="AJ148">
            <v>12.49</v>
          </cell>
          <cell r="AK148">
            <v>12.64</v>
          </cell>
          <cell r="AL148">
            <v>0</v>
          </cell>
          <cell r="AM148">
            <v>12.34</v>
          </cell>
          <cell r="AN148">
            <v>0</v>
          </cell>
          <cell r="AO148">
            <v>16.09</v>
          </cell>
          <cell r="AP148">
            <v>17.059999999999999</v>
          </cell>
          <cell r="AQ148">
            <v>0</v>
          </cell>
          <cell r="AR148">
            <v>17.260000000000002</v>
          </cell>
          <cell r="AS148">
            <v>17.47</v>
          </cell>
          <cell r="AT148">
            <v>0</v>
          </cell>
          <cell r="AU148">
            <v>17.059999999999999</v>
          </cell>
          <cell r="AV148">
            <v>0</v>
          </cell>
          <cell r="AW148">
            <v>11.8</v>
          </cell>
          <cell r="AX148">
            <v>12.51</v>
          </cell>
          <cell r="AY148">
            <v>12.58</v>
          </cell>
          <cell r="AZ148">
            <v>12.66</v>
          </cell>
          <cell r="BA148">
            <v>12.82</v>
          </cell>
          <cell r="BB148">
            <v>12.82</v>
          </cell>
          <cell r="BC148">
            <v>12.51</v>
          </cell>
          <cell r="BD148">
            <v>0</v>
          </cell>
          <cell r="BE148">
            <v>16.309999999999999</v>
          </cell>
          <cell r="BF148">
            <v>17.29</v>
          </cell>
          <cell r="BG148">
            <v>17.39</v>
          </cell>
          <cell r="BH148">
            <v>17.5</v>
          </cell>
          <cell r="BI148">
            <v>17.72</v>
          </cell>
          <cell r="BJ148">
            <v>17.940000000000001</v>
          </cell>
          <cell r="BK148">
            <v>17.29</v>
          </cell>
        </row>
        <row r="149">
          <cell r="A149"/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</row>
        <row r="150">
          <cell r="A150">
            <v>7891721238246</v>
          </cell>
          <cell r="B150">
            <v>1008902750055</v>
          </cell>
          <cell r="C150">
            <v>525402604110118</v>
          </cell>
          <cell r="D150" t="str">
            <v>CLORIDRATO DE METFORMINA</v>
          </cell>
          <cell r="E150" t="str">
            <v>850 MG COM REV CT BL AL PLAS INC X 60</v>
          </cell>
          <cell r="F150" t="str">
            <v>Comprimido revestido</v>
          </cell>
          <cell r="G150"/>
          <cell r="H150"/>
          <cell r="I150">
            <v>60</v>
          </cell>
          <cell r="J150"/>
          <cell r="K150" t="str">
            <v>Conformidade</v>
          </cell>
          <cell r="L150">
            <v>3</v>
          </cell>
          <cell r="M150" t="str">
            <v>Tarja Vermelha</v>
          </cell>
          <cell r="N150" t="str">
            <v>Não</v>
          </cell>
          <cell r="O150" t="str">
            <v>Não</v>
          </cell>
          <cell r="P150" t="str">
            <v>Não</v>
          </cell>
          <cell r="Q150" t="str">
            <v>I</v>
          </cell>
          <cell r="R150"/>
          <cell r="S150" t="str">
            <v>Genérico</v>
          </cell>
          <cell r="T150" t="str">
            <v>Monitorado</v>
          </cell>
          <cell r="U150"/>
          <cell r="V150" t="str">
            <v>1115-70-4</v>
          </cell>
          <cell r="W150"/>
          <cell r="X150"/>
          <cell r="Y150" t="str">
            <v>MG</v>
          </cell>
          <cell r="Z150">
            <v>5782</v>
          </cell>
          <cell r="AA150" t="str">
            <v>65 - ANTIDIABÉTICOS BIGUANIDAS PUROS</v>
          </cell>
          <cell r="AB150" t="str">
            <v>N</v>
          </cell>
          <cell r="AC150" t="str">
            <v>N</v>
          </cell>
          <cell r="AD150">
            <v>0</v>
          </cell>
          <cell r="AE150" t="str">
            <v>N</v>
          </cell>
          <cell r="AF150">
            <v>0</v>
          </cell>
          <cell r="AG150">
            <v>21.63</v>
          </cell>
          <cell r="AH150">
            <v>22.93</v>
          </cell>
          <cell r="AI150">
            <v>0</v>
          </cell>
          <cell r="AJ150">
            <v>23.21</v>
          </cell>
          <cell r="AK150">
            <v>23.5</v>
          </cell>
          <cell r="AL150">
            <v>0</v>
          </cell>
          <cell r="AM150">
            <v>22.93</v>
          </cell>
          <cell r="AN150">
            <v>0</v>
          </cell>
          <cell r="AO150">
            <v>29.9</v>
          </cell>
          <cell r="AP150">
            <v>31.7</v>
          </cell>
          <cell r="AQ150">
            <v>0</v>
          </cell>
          <cell r="AR150">
            <v>32.090000000000003</v>
          </cell>
          <cell r="AS150">
            <v>32.49</v>
          </cell>
          <cell r="AT150">
            <v>0</v>
          </cell>
          <cell r="AU150">
            <v>31.7</v>
          </cell>
          <cell r="AV150">
            <v>0</v>
          </cell>
          <cell r="AW150">
            <v>21.92</v>
          </cell>
          <cell r="AX150">
            <v>23.24</v>
          </cell>
          <cell r="AY150">
            <v>23.38</v>
          </cell>
          <cell r="AZ150">
            <v>23.53</v>
          </cell>
          <cell r="BA150">
            <v>23.82</v>
          </cell>
          <cell r="BB150">
            <v>23.82</v>
          </cell>
          <cell r="BC150">
            <v>23.24</v>
          </cell>
          <cell r="BD150">
            <v>0</v>
          </cell>
          <cell r="BE150">
            <v>30.3</v>
          </cell>
          <cell r="BF150">
            <v>32.130000000000003</v>
          </cell>
          <cell r="BG150">
            <v>32.32</v>
          </cell>
          <cell r="BH150">
            <v>32.520000000000003</v>
          </cell>
          <cell r="BI150">
            <v>32.93</v>
          </cell>
          <cell r="BJ150">
            <v>33.33</v>
          </cell>
          <cell r="BK150">
            <v>32.130000000000003</v>
          </cell>
        </row>
        <row r="151">
          <cell r="A151"/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/>
          <cell r="AM151"/>
          <cell r="AN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/>
          <cell r="BH151"/>
          <cell r="BI151"/>
          <cell r="BJ151"/>
          <cell r="BK151"/>
        </row>
        <row r="152">
          <cell r="A152">
            <v>7891721274206</v>
          </cell>
          <cell r="B152">
            <v>1008903170028</v>
          </cell>
          <cell r="C152">
            <v>525418002115118</v>
          </cell>
          <cell r="D152" t="str">
            <v>CLORIDRATO DE PAROXETINA</v>
          </cell>
          <cell r="E152" t="str">
            <v>20 MG COM REV CT FR PLAS OPC X 30</v>
          </cell>
          <cell r="F152" t="str">
            <v>Comprimido revestido</v>
          </cell>
          <cell r="G152"/>
          <cell r="H152"/>
          <cell r="I152">
            <v>30</v>
          </cell>
          <cell r="J152"/>
          <cell r="K152" t="str">
            <v>Conformidade</v>
          </cell>
          <cell r="L152">
            <v>1</v>
          </cell>
          <cell r="M152" t="str">
            <v>Tarja Vermelha</v>
          </cell>
          <cell r="N152" t="str">
            <v>Não</v>
          </cell>
          <cell r="O152" t="str">
            <v>Não</v>
          </cell>
          <cell r="P152" t="str">
            <v>Não</v>
          </cell>
          <cell r="Q152" t="str">
            <v>I</v>
          </cell>
          <cell r="R152"/>
          <cell r="S152" t="str">
            <v>Genérico</v>
          </cell>
          <cell r="T152" t="str">
            <v>Monitorado</v>
          </cell>
          <cell r="U152"/>
          <cell r="V152" t="str">
            <v>78246-49-8</v>
          </cell>
          <cell r="W152"/>
          <cell r="X152"/>
          <cell r="Y152" t="str">
            <v>MG</v>
          </cell>
          <cell r="Z152">
            <v>6859</v>
          </cell>
          <cell r="AA152" t="str">
            <v>504 - ANTI-DEPRESSIVOS SSRI</v>
          </cell>
          <cell r="AB152" t="str">
            <v>N</v>
          </cell>
          <cell r="AC152" t="str">
            <v>N</v>
          </cell>
          <cell r="AD152">
            <v>0</v>
          </cell>
          <cell r="AE152" t="str">
            <v>N</v>
          </cell>
          <cell r="AF152">
            <v>0</v>
          </cell>
          <cell r="AG152">
            <v>89.98</v>
          </cell>
          <cell r="AH152">
            <v>95.4</v>
          </cell>
          <cell r="AI152">
            <v>0</v>
          </cell>
          <cell r="AJ152">
            <v>96.56</v>
          </cell>
          <cell r="AK152">
            <v>97.75</v>
          </cell>
          <cell r="AL152">
            <v>0</v>
          </cell>
          <cell r="AM152">
            <v>95.4</v>
          </cell>
          <cell r="AN152">
            <v>0</v>
          </cell>
          <cell r="AO152">
            <v>124.39</v>
          </cell>
          <cell r="AP152">
            <v>131.88</v>
          </cell>
          <cell r="AQ152">
            <v>0</v>
          </cell>
          <cell r="AR152">
            <v>133.49</v>
          </cell>
          <cell r="AS152">
            <v>135.13</v>
          </cell>
          <cell r="AT152">
            <v>0</v>
          </cell>
          <cell r="AU152">
            <v>131.88</v>
          </cell>
          <cell r="AV152">
            <v>0</v>
          </cell>
          <cell r="AW152">
            <v>94.26</v>
          </cell>
          <cell r="AX152">
            <v>99.94</v>
          </cell>
          <cell r="AY152">
            <v>100.54</v>
          </cell>
          <cell r="AZ152">
            <v>101.16</v>
          </cell>
          <cell r="BA152">
            <v>102.4</v>
          </cell>
          <cell r="BB152">
            <v>102.4</v>
          </cell>
          <cell r="BC152">
            <v>99.94</v>
          </cell>
          <cell r="BD152">
            <v>0</v>
          </cell>
          <cell r="BE152">
            <v>130.31</v>
          </cell>
          <cell r="BF152">
            <v>138.16</v>
          </cell>
          <cell r="BG152">
            <v>138.99</v>
          </cell>
          <cell r="BH152">
            <v>139.84</v>
          </cell>
          <cell r="BI152">
            <v>141.56</v>
          </cell>
          <cell r="BJ152">
            <v>143.33000000000001</v>
          </cell>
          <cell r="BK152">
            <v>138.16</v>
          </cell>
        </row>
        <row r="153">
          <cell r="A153">
            <v>7891721273025</v>
          </cell>
          <cell r="B153">
            <v>1008902670019</v>
          </cell>
          <cell r="C153">
            <v>525402701116117</v>
          </cell>
          <cell r="D153" t="str">
            <v>CLORIDRATO DE RANITIDINA</v>
          </cell>
          <cell r="E153" t="str">
            <v>150 MG COM REV EST FR PLAS OPC X 20</v>
          </cell>
          <cell r="F153" t="str">
            <v>Comprimido revestido</v>
          </cell>
          <cell r="G153"/>
          <cell r="H153"/>
          <cell r="I153">
            <v>20</v>
          </cell>
          <cell r="J153"/>
          <cell r="K153" t="str">
            <v>Conformidade</v>
          </cell>
          <cell r="L153">
            <v>1</v>
          </cell>
          <cell r="M153" t="str">
            <v>Tarja Vermelha</v>
          </cell>
          <cell r="N153" t="str">
            <v>Não</v>
          </cell>
          <cell r="O153" t="str">
            <v>Não</v>
          </cell>
          <cell r="P153" t="str">
            <v>Não</v>
          </cell>
          <cell r="Q153" t="str">
            <v>I</v>
          </cell>
          <cell r="R153"/>
          <cell r="S153" t="str">
            <v>Genérico</v>
          </cell>
          <cell r="T153" t="str">
            <v>Monitorado</v>
          </cell>
          <cell r="U153"/>
          <cell r="V153" t="str">
            <v>66357-59-3</v>
          </cell>
          <cell r="W153"/>
          <cell r="X153"/>
          <cell r="Y153" t="str">
            <v>MG</v>
          </cell>
          <cell r="Z153">
            <v>7639</v>
          </cell>
          <cell r="AA153" t="str">
            <v>14 - ANTAGONISTAS RECEPTORES H2</v>
          </cell>
          <cell r="AB153" t="str">
            <v>N</v>
          </cell>
          <cell r="AC153" t="str">
            <v>N</v>
          </cell>
          <cell r="AD153">
            <v>0</v>
          </cell>
          <cell r="AE153" t="str">
            <v>N</v>
          </cell>
          <cell r="AF153">
            <v>0</v>
          </cell>
          <cell r="AG153">
            <v>14.58</v>
          </cell>
          <cell r="AH153">
            <v>15.46</v>
          </cell>
          <cell r="AI153">
            <v>0</v>
          </cell>
          <cell r="AJ153">
            <v>15.65</v>
          </cell>
          <cell r="AK153">
            <v>15.84</v>
          </cell>
          <cell r="AL153">
            <v>0</v>
          </cell>
          <cell r="AM153">
            <v>15.46</v>
          </cell>
          <cell r="AN153">
            <v>0</v>
          </cell>
          <cell r="AO153">
            <v>20.16</v>
          </cell>
          <cell r="AP153">
            <v>21.37</v>
          </cell>
          <cell r="AQ153">
            <v>0</v>
          </cell>
          <cell r="AR153">
            <v>21.64</v>
          </cell>
          <cell r="AS153">
            <v>21.9</v>
          </cell>
          <cell r="AT153">
            <v>0</v>
          </cell>
          <cell r="AU153">
            <v>21.37</v>
          </cell>
          <cell r="AV153">
            <v>0</v>
          </cell>
          <cell r="AW153">
            <v>14.58</v>
          </cell>
          <cell r="AX153">
            <v>15.46</v>
          </cell>
          <cell r="AY153">
            <v>15.56</v>
          </cell>
          <cell r="AZ153">
            <v>15.65</v>
          </cell>
          <cell r="BA153">
            <v>15.84</v>
          </cell>
          <cell r="BB153">
            <v>15.84</v>
          </cell>
          <cell r="BC153">
            <v>15.46</v>
          </cell>
          <cell r="BD153">
            <v>0</v>
          </cell>
          <cell r="BE153">
            <v>20.16</v>
          </cell>
          <cell r="BF153">
            <v>21.37</v>
          </cell>
          <cell r="BG153">
            <v>21.51</v>
          </cell>
          <cell r="BH153">
            <v>21.64</v>
          </cell>
          <cell r="BI153">
            <v>21.9</v>
          </cell>
          <cell r="BJ153">
            <v>22.17</v>
          </cell>
          <cell r="BK153">
            <v>21.37</v>
          </cell>
        </row>
        <row r="154">
          <cell r="A154">
            <v>7891721200472</v>
          </cell>
          <cell r="B154">
            <v>1008903240042</v>
          </cell>
          <cell r="C154">
            <v>525419302112112</v>
          </cell>
          <cell r="D154" t="str">
            <v>CLORIDRATO DE SERTRALINA</v>
          </cell>
          <cell r="E154" t="str">
            <v>50 MG COM REV CT BL AL PLAS INC X 30</v>
          </cell>
          <cell r="F154" t="str">
            <v>Comprimido revestido</v>
          </cell>
          <cell r="G154"/>
          <cell r="H154"/>
          <cell r="I154">
            <v>30</v>
          </cell>
          <cell r="J154"/>
          <cell r="K154" t="str">
            <v>Conformidade</v>
          </cell>
          <cell r="L154">
            <v>1</v>
          </cell>
          <cell r="M154" t="str">
            <v>Tarja Vermelha</v>
          </cell>
          <cell r="N154" t="str">
            <v>Não</v>
          </cell>
          <cell r="O154" t="str">
            <v>Não</v>
          </cell>
          <cell r="P154" t="str">
            <v>Não</v>
          </cell>
          <cell r="Q154" t="str">
            <v>I</v>
          </cell>
          <cell r="R154"/>
          <cell r="S154" t="str">
            <v>Genérico</v>
          </cell>
          <cell r="T154" t="str">
            <v>Monitorado</v>
          </cell>
          <cell r="U154"/>
          <cell r="V154" t="str">
            <v>79559-97-0</v>
          </cell>
          <cell r="W154"/>
          <cell r="X154"/>
          <cell r="Y154" t="str">
            <v>MG</v>
          </cell>
          <cell r="Z154">
            <v>7964</v>
          </cell>
          <cell r="AA154" t="str">
            <v>504 - ANTI-DEPRESSIVOS SSRI</v>
          </cell>
          <cell r="AB154" t="str">
            <v>N</v>
          </cell>
          <cell r="AC154" t="str">
            <v>N</v>
          </cell>
          <cell r="AD154">
            <v>0</v>
          </cell>
          <cell r="AE154" t="str">
            <v>S</v>
          </cell>
          <cell r="AF154">
            <v>0</v>
          </cell>
          <cell r="AG154">
            <v>50.27</v>
          </cell>
          <cell r="AH154">
            <v>53.29</v>
          </cell>
          <cell r="AI154">
            <v>0</v>
          </cell>
          <cell r="AJ154">
            <v>53.94</v>
          </cell>
          <cell r="AK154">
            <v>54.61</v>
          </cell>
          <cell r="AL154">
            <v>0</v>
          </cell>
          <cell r="AM154">
            <v>53.29</v>
          </cell>
          <cell r="AN154">
            <v>0</v>
          </cell>
          <cell r="AO154">
            <v>69.5</v>
          </cell>
          <cell r="AP154">
            <v>73.67</v>
          </cell>
          <cell r="AQ154">
            <v>0</v>
          </cell>
          <cell r="AR154">
            <v>74.569999999999993</v>
          </cell>
          <cell r="AS154">
            <v>75.5</v>
          </cell>
          <cell r="AT154">
            <v>0</v>
          </cell>
          <cell r="AU154">
            <v>73.67</v>
          </cell>
          <cell r="AV154">
            <v>0</v>
          </cell>
          <cell r="AW154">
            <v>52.65</v>
          </cell>
          <cell r="AX154">
            <v>55.83</v>
          </cell>
          <cell r="AY154">
            <v>56.16</v>
          </cell>
          <cell r="AZ154">
            <v>56.51</v>
          </cell>
          <cell r="BA154">
            <v>57.2</v>
          </cell>
          <cell r="BB154">
            <v>57.2</v>
          </cell>
          <cell r="BC154">
            <v>55.83</v>
          </cell>
          <cell r="BD154">
            <v>0</v>
          </cell>
          <cell r="BE154">
            <v>72.790000000000006</v>
          </cell>
          <cell r="BF154">
            <v>77.180000000000007</v>
          </cell>
          <cell r="BG154">
            <v>77.64</v>
          </cell>
          <cell r="BH154">
            <v>78.12</v>
          </cell>
          <cell r="BI154">
            <v>79.08</v>
          </cell>
          <cell r="BJ154">
            <v>80.069999999999993</v>
          </cell>
          <cell r="BK154">
            <v>77.180000000000007</v>
          </cell>
        </row>
        <row r="155">
          <cell r="A155"/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</row>
        <row r="156">
          <cell r="A156">
            <v>7891721023521</v>
          </cell>
          <cell r="B156">
            <v>1008902810023</v>
          </cell>
          <cell r="C156">
            <v>525402801110110</v>
          </cell>
          <cell r="D156" t="str">
            <v>CLORIDRATO DE SOTALOL</v>
          </cell>
          <cell r="E156" t="str">
            <v>160 MG COM CT FR PLAS OPC X 30</v>
          </cell>
          <cell r="F156" t="str">
            <v>Comprimido</v>
          </cell>
          <cell r="G156"/>
          <cell r="H156"/>
          <cell r="I156">
            <v>30</v>
          </cell>
          <cell r="J156"/>
          <cell r="K156" t="str">
            <v>Conformidade</v>
          </cell>
          <cell r="L156">
            <v>2</v>
          </cell>
          <cell r="M156" t="str">
            <v>Tarja Vermelha</v>
          </cell>
          <cell r="N156" t="str">
            <v>Não</v>
          </cell>
          <cell r="O156" t="str">
            <v>Não</v>
          </cell>
          <cell r="P156" t="str">
            <v>Não</v>
          </cell>
          <cell r="Q156" t="str">
            <v>I</v>
          </cell>
          <cell r="R156"/>
          <cell r="S156" t="str">
            <v>Genérico</v>
          </cell>
          <cell r="T156" t="str">
            <v>Monitorado</v>
          </cell>
          <cell r="U156"/>
          <cell r="V156" t="str">
            <v>959-24-0</v>
          </cell>
          <cell r="W156"/>
          <cell r="X156"/>
          <cell r="Y156" t="str">
            <v>MG</v>
          </cell>
          <cell r="Z156">
            <v>8065</v>
          </cell>
          <cell r="AA156" t="str">
            <v>191 - BETABLOQUEADORES PUROS</v>
          </cell>
          <cell r="AB156" t="str">
            <v>N</v>
          </cell>
          <cell r="AC156" t="str">
            <v>N</v>
          </cell>
          <cell r="AD156">
            <v>0</v>
          </cell>
          <cell r="AE156" t="str">
            <v>N</v>
          </cell>
          <cell r="AF156">
            <v>0</v>
          </cell>
          <cell r="AG156">
            <v>47.4</v>
          </cell>
          <cell r="AH156">
            <v>50.26</v>
          </cell>
          <cell r="AI156">
            <v>0</v>
          </cell>
          <cell r="AJ156">
            <v>50.87</v>
          </cell>
          <cell r="AK156">
            <v>51.5</v>
          </cell>
          <cell r="AL156">
            <v>0</v>
          </cell>
          <cell r="AM156">
            <v>50.26</v>
          </cell>
          <cell r="AN156">
            <v>0</v>
          </cell>
          <cell r="AO156">
            <v>65.53</v>
          </cell>
          <cell r="AP156">
            <v>69.48</v>
          </cell>
          <cell r="AQ156">
            <v>0</v>
          </cell>
          <cell r="AR156">
            <v>70.33</v>
          </cell>
          <cell r="AS156">
            <v>71.2</v>
          </cell>
          <cell r="AT156">
            <v>0</v>
          </cell>
          <cell r="AU156">
            <v>69.48</v>
          </cell>
          <cell r="AV156">
            <v>0</v>
          </cell>
          <cell r="AW156">
            <v>48.85</v>
          </cell>
          <cell r="AX156">
            <v>51.79</v>
          </cell>
          <cell r="AY156">
            <v>52.11</v>
          </cell>
          <cell r="AZ156">
            <v>52.43</v>
          </cell>
          <cell r="BA156">
            <v>53.07</v>
          </cell>
          <cell r="BB156">
            <v>53.07</v>
          </cell>
          <cell r="BC156">
            <v>51.79</v>
          </cell>
          <cell r="BD156">
            <v>0</v>
          </cell>
          <cell r="BE156">
            <v>67.53</v>
          </cell>
          <cell r="BF156">
            <v>71.599999999999994</v>
          </cell>
          <cell r="BG156">
            <v>72.040000000000006</v>
          </cell>
          <cell r="BH156">
            <v>72.48</v>
          </cell>
          <cell r="BI156">
            <v>73.37</v>
          </cell>
          <cell r="BJ156">
            <v>74.290000000000006</v>
          </cell>
          <cell r="BK156">
            <v>71.599999999999994</v>
          </cell>
        </row>
        <row r="157">
          <cell r="A157"/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</row>
        <row r="158">
          <cell r="A158"/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</row>
        <row r="159">
          <cell r="A159">
            <v>7891721023514</v>
          </cell>
          <cell r="B159">
            <v>1008902760026</v>
          </cell>
          <cell r="C159">
            <v>525402901115114</v>
          </cell>
          <cell r="D159" t="str">
            <v>CLORIDRATO DE TICLOPIDINA</v>
          </cell>
          <cell r="E159" t="str">
            <v>250 MG COM REV EST FR PLAS OPC X 30</v>
          </cell>
          <cell r="F159" t="str">
            <v>Comprimido revestido</v>
          </cell>
          <cell r="G159"/>
          <cell r="H159"/>
          <cell r="I159">
            <v>30</v>
          </cell>
          <cell r="J159"/>
          <cell r="K159" t="str">
            <v>Conformidade</v>
          </cell>
          <cell r="L159">
            <v>1</v>
          </cell>
          <cell r="M159" t="str">
            <v>Tarja Vermelha</v>
          </cell>
          <cell r="N159" t="str">
            <v>Não</v>
          </cell>
          <cell r="O159" t="str">
            <v>Não</v>
          </cell>
          <cell r="P159" t="str">
            <v>Não</v>
          </cell>
          <cell r="Q159" t="str">
            <v>I</v>
          </cell>
          <cell r="R159"/>
          <cell r="S159" t="str">
            <v>Genérico</v>
          </cell>
          <cell r="T159" t="str">
            <v>Monitorado</v>
          </cell>
          <cell r="U159"/>
          <cell r="V159" t="str">
            <v>53885-35-1</v>
          </cell>
          <cell r="W159"/>
          <cell r="X159"/>
          <cell r="Y159" t="str">
            <v>MG</v>
          </cell>
          <cell r="Z159">
            <v>8551</v>
          </cell>
          <cell r="AA159" t="str">
            <v>123 - INIBIDORES DA AGRAGAÇÃO PLAQUETÁRIA, ANTAGONISTAS DOS RECEPTORES DA ADENOSINA DIFOSFATO</v>
          </cell>
          <cell r="AB159" t="str">
            <v>N</v>
          </cell>
          <cell r="AC159" t="str">
            <v>N</v>
          </cell>
          <cell r="AD159">
            <v>0</v>
          </cell>
          <cell r="AE159" t="str">
            <v>N</v>
          </cell>
          <cell r="AF159">
            <v>0</v>
          </cell>
          <cell r="AG159">
            <v>41.59</v>
          </cell>
          <cell r="AH159">
            <v>44.09</v>
          </cell>
          <cell r="AI159">
            <v>0</v>
          </cell>
          <cell r="AJ159">
            <v>44.63</v>
          </cell>
          <cell r="AK159">
            <v>45.18</v>
          </cell>
          <cell r="AL159">
            <v>0</v>
          </cell>
          <cell r="AM159">
            <v>44.09</v>
          </cell>
          <cell r="AN159">
            <v>0</v>
          </cell>
          <cell r="AO159">
            <v>57.5</v>
          </cell>
          <cell r="AP159">
            <v>60.95</v>
          </cell>
          <cell r="AQ159">
            <v>0</v>
          </cell>
          <cell r="AR159">
            <v>61.7</v>
          </cell>
          <cell r="AS159">
            <v>62.46</v>
          </cell>
          <cell r="AT159">
            <v>0</v>
          </cell>
          <cell r="AU159">
            <v>60.95</v>
          </cell>
          <cell r="AV159">
            <v>0</v>
          </cell>
          <cell r="AW159">
            <v>43.57</v>
          </cell>
          <cell r="AX159">
            <v>46.19</v>
          </cell>
          <cell r="AY159">
            <v>46.47</v>
          </cell>
          <cell r="AZ159">
            <v>46.75</v>
          </cell>
          <cell r="BA159">
            <v>47.33</v>
          </cell>
          <cell r="BB159">
            <v>47.33</v>
          </cell>
          <cell r="BC159">
            <v>46.19</v>
          </cell>
          <cell r="BD159">
            <v>0</v>
          </cell>
          <cell r="BE159">
            <v>60.23</v>
          </cell>
          <cell r="BF159">
            <v>63.85</v>
          </cell>
          <cell r="BG159">
            <v>64.239999999999995</v>
          </cell>
          <cell r="BH159">
            <v>64.63</v>
          </cell>
          <cell r="BI159">
            <v>65.430000000000007</v>
          </cell>
          <cell r="BJ159">
            <v>66.25</v>
          </cell>
          <cell r="BK159">
            <v>63.85</v>
          </cell>
        </row>
        <row r="160">
          <cell r="A160"/>
          <cell r="B160"/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</row>
        <row r="162">
          <cell r="A162">
            <v>7891721031342</v>
          </cell>
          <cell r="B162">
            <v>1008903380030</v>
          </cell>
          <cell r="C162">
            <v>525419401110411</v>
          </cell>
          <cell r="D162" t="str">
            <v>COLPOTROFINE</v>
          </cell>
          <cell r="E162" t="str">
            <v>10 MG CAP GEL MOLE CT BL AL PLAS INC X 20</v>
          </cell>
          <cell r="F162" t="str">
            <v>Cápsula mole</v>
          </cell>
          <cell r="G162"/>
          <cell r="H162"/>
          <cell r="I162">
            <v>20</v>
          </cell>
          <cell r="J162"/>
          <cell r="K162" t="str">
            <v>Conformidade</v>
          </cell>
          <cell r="L162">
            <v>3</v>
          </cell>
          <cell r="M162" t="str">
            <v>Tarja Vermelha</v>
          </cell>
          <cell r="N162" t="str">
            <v>Não</v>
          </cell>
          <cell r="O162" t="str">
            <v>Não</v>
          </cell>
          <cell r="P162" t="str">
            <v>Não</v>
          </cell>
          <cell r="Q162" t="str">
            <v>I</v>
          </cell>
          <cell r="R162"/>
          <cell r="S162" t="str">
            <v>Genérico</v>
          </cell>
          <cell r="T162" t="str">
            <v>Monitorado</v>
          </cell>
          <cell r="U162"/>
          <cell r="V162" t="str">
            <v>39219-28-8</v>
          </cell>
          <cell r="W162"/>
          <cell r="X162"/>
          <cell r="Y162" t="str">
            <v>MG</v>
          </cell>
          <cell r="Z162">
            <v>7428</v>
          </cell>
          <cell r="AA162" t="str">
            <v>256 - HORMÔNIOS SEXUAIS TÓPICOS</v>
          </cell>
          <cell r="AB162" t="str">
            <v>N</v>
          </cell>
          <cell r="AC162" t="str">
            <v>N</v>
          </cell>
          <cell r="AD162">
            <v>0</v>
          </cell>
          <cell r="AE162" t="str">
            <v>N</v>
          </cell>
          <cell r="AF162">
            <v>0</v>
          </cell>
          <cell r="AG162">
            <v>40.51</v>
          </cell>
          <cell r="AH162">
            <v>42.95</v>
          </cell>
          <cell r="AI162">
            <v>0</v>
          </cell>
          <cell r="AJ162">
            <v>43.47</v>
          </cell>
          <cell r="AK162">
            <v>44.01</v>
          </cell>
          <cell r="AL162">
            <v>0</v>
          </cell>
          <cell r="AM162">
            <v>42.95</v>
          </cell>
          <cell r="AN162">
            <v>0</v>
          </cell>
          <cell r="AO162">
            <v>56</v>
          </cell>
          <cell r="AP162">
            <v>59.38</v>
          </cell>
          <cell r="AQ162">
            <v>0</v>
          </cell>
          <cell r="AR162">
            <v>60.09</v>
          </cell>
          <cell r="AS162">
            <v>60.84</v>
          </cell>
          <cell r="AT162">
            <v>0</v>
          </cell>
          <cell r="AU162">
            <v>59.38</v>
          </cell>
          <cell r="AV162">
            <v>0</v>
          </cell>
          <cell r="AW162">
            <v>40.51</v>
          </cell>
          <cell r="AX162">
            <v>42.95</v>
          </cell>
          <cell r="AY162">
            <v>43.21</v>
          </cell>
          <cell r="AZ162">
            <v>43.47</v>
          </cell>
          <cell r="BA162">
            <v>44.01</v>
          </cell>
          <cell r="BB162">
            <v>44.01</v>
          </cell>
          <cell r="BC162">
            <v>42.95</v>
          </cell>
          <cell r="BD162">
            <v>0</v>
          </cell>
          <cell r="BE162">
            <v>56</v>
          </cell>
          <cell r="BF162">
            <v>59.38</v>
          </cell>
          <cell r="BG162">
            <v>59.74</v>
          </cell>
          <cell r="BH162">
            <v>60.09</v>
          </cell>
          <cell r="BI162">
            <v>60.84</v>
          </cell>
          <cell r="BJ162">
            <v>61.6</v>
          </cell>
          <cell r="BK162">
            <v>59.38</v>
          </cell>
        </row>
        <row r="163">
          <cell r="A163">
            <v>7891721031335</v>
          </cell>
          <cell r="B163">
            <v>1008903380022</v>
          </cell>
          <cell r="C163">
            <v>525419402168411</v>
          </cell>
          <cell r="D163" t="str">
            <v>COLPOTROFINE</v>
          </cell>
          <cell r="E163" t="str">
            <v>10 MG/G CREM VAG CT BG AL X 30 G + APLIC </v>
          </cell>
          <cell r="F163" t="str">
            <v>CREME VAGINAL</v>
          </cell>
          <cell r="G163">
            <v>1</v>
          </cell>
          <cell r="H163" t="str">
            <v>BISNAGA</v>
          </cell>
          <cell r="I163">
            <v>30</v>
          </cell>
          <cell r="J163" t="str">
            <v>G</v>
          </cell>
          <cell r="K163" t="str">
            <v>Conformidade</v>
          </cell>
          <cell r="L163">
            <v>3</v>
          </cell>
          <cell r="M163" t="str">
            <v>Tarja Vermelha</v>
          </cell>
          <cell r="N163" t="str">
            <v>Não</v>
          </cell>
          <cell r="O163" t="str">
            <v>Não</v>
          </cell>
          <cell r="P163" t="str">
            <v>Não</v>
          </cell>
          <cell r="Q163" t="str">
            <v>I</v>
          </cell>
          <cell r="R163"/>
          <cell r="S163" t="str">
            <v>Genérico</v>
          </cell>
          <cell r="T163" t="str">
            <v>Monitorado</v>
          </cell>
          <cell r="U163"/>
          <cell r="V163" t="str">
            <v>39219-28-8</v>
          </cell>
          <cell r="W163"/>
          <cell r="X163"/>
          <cell r="Y163" t="str">
            <v>MG/G</v>
          </cell>
          <cell r="Z163">
            <v>7428</v>
          </cell>
          <cell r="AA163" t="str">
            <v>256 - HORMÔNIOS SEXUAIS TÓPICOS</v>
          </cell>
          <cell r="AB163" t="str">
            <v>N</v>
          </cell>
          <cell r="AC163" t="str">
            <v>N</v>
          </cell>
          <cell r="AD163">
            <v>0</v>
          </cell>
          <cell r="AE163" t="str">
            <v>N</v>
          </cell>
          <cell r="AF163">
            <v>0</v>
          </cell>
          <cell r="AG163">
            <v>47.03</v>
          </cell>
          <cell r="AH163">
            <v>49.86</v>
          </cell>
          <cell r="AI163">
            <v>0</v>
          </cell>
          <cell r="AJ163">
            <v>50.47</v>
          </cell>
          <cell r="AK163">
            <v>51.09</v>
          </cell>
          <cell r="AL163">
            <v>0</v>
          </cell>
          <cell r="AM163">
            <v>49.86</v>
          </cell>
          <cell r="AN163">
            <v>0</v>
          </cell>
          <cell r="AO163">
            <v>65.02</v>
          </cell>
          <cell r="AP163">
            <v>68.930000000000007</v>
          </cell>
          <cell r="AQ163">
            <v>0</v>
          </cell>
          <cell r="AR163">
            <v>69.77</v>
          </cell>
          <cell r="AS163">
            <v>70.63</v>
          </cell>
          <cell r="AT163">
            <v>0</v>
          </cell>
          <cell r="AU163">
            <v>68.930000000000007</v>
          </cell>
          <cell r="AV163">
            <v>0</v>
          </cell>
          <cell r="AW163">
            <v>47.03</v>
          </cell>
          <cell r="AX163">
            <v>49.86</v>
          </cell>
          <cell r="AY163">
            <v>50.16</v>
          </cell>
          <cell r="AZ163">
            <v>50.47</v>
          </cell>
          <cell r="BA163">
            <v>51.09</v>
          </cell>
          <cell r="BB163">
            <v>51.09</v>
          </cell>
          <cell r="BC163">
            <v>49.86</v>
          </cell>
          <cell r="BD163">
            <v>0</v>
          </cell>
          <cell r="BE163">
            <v>65.02</v>
          </cell>
          <cell r="BF163">
            <v>68.930000000000007</v>
          </cell>
          <cell r="BG163">
            <v>69.34</v>
          </cell>
          <cell r="BH163">
            <v>69.77</v>
          </cell>
          <cell r="BI163">
            <v>70.63</v>
          </cell>
          <cell r="BJ163">
            <v>71.510000000000005</v>
          </cell>
          <cell r="BK163">
            <v>68.930000000000007</v>
          </cell>
        </row>
        <row r="164">
          <cell r="A164">
            <v>7891721025211</v>
          </cell>
          <cell r="B164">
            <v>1008901940624</v>
          </cell>
          <cell r="C164">
            <v>525416060048003</v>
          </cell>
          <cell r="D164" t="str">
            <v>CONCOR</v>
          </cell>
          <cell r="E164" t="str">
            <v>10 MG COM REV EST CART BL AL AL X 20</v>
          </cell>
          <cell r="F164" t="str">
            <v>Comprimido revestido</v>
          </cell>
          <cell r="G164"/>
          <cell r="H164"/>
          <cell r="I164">
            <v>20</v>
          </cell>
          <cell r="J164"/>
          <cell r="K164" t="str">
            <v>Conformidade</v>
          </cell>
          <cell r="L164">
            <v>2</v>
          </cell>
          <cell r="M164" t="str">
            <v>Tarja Vermelha</v>
          </cell>
          <cell r="N164" t="str">
            <v>Não</v>
          </cell>
          <cell r="O164" t="str">
            <v>Não</v>
          </cell>
          <cell r="P164" t="str">
            <v>Não</v>
          </cell>
          <cell r="Q164" t="str">
            <v>I</v>
          </cell>
          <cell r="R164"/>
          <cell r="S164" t="str">
            <v>Genérico</v>
          </cell>
          <cell r="T164" t="str">
            <v>Monitorado</v>
          </cell>
          <cell r="U164"/>
          <cell r="V164" t="str">
            <v>104344-23-2</v>
          </cell>
          <cell r="W164"/>
          <cell r="X164"/>
          <cell r="Y164"/>
          <cell r="Z164">
            <v>1300</v>
          </cell>
          <cell r="AA164" t="str">
            <v>191 - BETABLOQUEADORES PUROS</v>
          </cell>
          <cell r="AB164" t="str">
            <v>N</v>
          </cell>
          <cell r="AC164" t="str">
            <v>N</v>
          </cell>
          <cell r="AD164"/>
          <cell r="AE164" t="str">
            <v>N</v>
          </cell>
          <cell r="AF164">
            <v>0</v>
          </cell>
          <cell r="AG164">
            <v>59.09</v>
          </cell>
          <cell r="AH164">
            <v>62.66</v>
          </cell>
          <cell r="AI164">
            <v>0</v>
          </cell>
          <cell r="AJ164">
            <v>63.42</v>
          </cell>
          <cell r="AK164">
            <v>64.2</v>
          </cell>
          <cell r="AL164">
            <v>0</v>
          </cell>
          <cell r="AM164">
            <v>62.66</v>
          </cell>
          <cell r="AN164">
            <v>0</v>
          </cell>
          <cell r="AO164">
            <v>81.69</v>
          </cell>
          <cell r="AP164">
            <v>86.62</v>
          </cell>
          <cell r="AQ164">
            <v>0</v>
          </cell>
          <cell r="AR164">
            <v>87.67</v>
          </cell>
          <cell r="AS164">
            <v>88.75</v>
          </cell>
          <cell r="AT164">
            <v>0</v>
          </cell>
          <cell r="AU164">
            <v>86.62</v>
          </cell>
          <cell r="AV164">
            <v>0</v>
          </cell>
          <cell r="AW164">
            <v>60.9</v>
          </cell>
          <cell r="AX164">
            <v>64.569999999999993</v>
          </cell>
          <cell r="AY164">
            <v>64.959999999999994</v>
          </cell>
          <cell r="AZ164">
            <v>65.36</v>
          </cell>
          <cell r="BA164">
            <v>66.17</v>
          </cell>
          <cell r="BB164">
            <v>66.17</v>
          </cell>
          <cell r="BC164">
            <v>64.569999999999993</v>
          </cell>
          <cell r="BD164">
            <v>0</v>
          </cell>
          <cell r="BE164">
            <v>84.19</v>
          </cell>
          <cell r="BF164">
            <v>89.26</v>
          </cell>
          <cell r="BG164">
            <v>89.8</v>
          </cell>
          <cell r="BH164">
            <v>90.36</v>
          </cell>
          <cell r="BI164">
            <v>91.48</v>
          </cell>
          <cell r="BJ164">
            <v>92.61</v>
          </cell>
          <cell r="BK164">
            <v>89.26</v>
          </cell>
        </row>
        <row r="165">
          <cell r="A165">
            <v>7891721025228</v>
          </cell>
          <cell r="B165">
            <v>1008901940632</v>
          </cell>
          <cell r="C165">
            <v>525416060048103</v>
          </cell>
          <cell r="D165" t="str">
            <v>CONCOR</v>
          </cell>
          <cell r="E165" t="str">
            <v>10 MG COM REV EST CART BL AL AL X 30</v>
          </cell>
          <cell r="F165" t="str">
            <v>Comprimido revestido</v>
          </cell>
          <cell r="G165"/>
          <cell r="H165"/>
          <cell r="I165">
            <v>30</v>
          </cell>
          <cell r="J165"/>
          <cell r="K165" t="str">
            <v>Conformidade</v>
          </cell>
          <cell r="L165">
            <v>2</v>
          </cell>
          <cell r="M165" t="str">
            <v>Tarja Vermelha</v>
          </cell>
          <cell r="N165" t="str">
            <v>Não</v>
          </cell>
          <cell r="O165" t="str">
            <v>Não</v>
          </cell>
          <cell r="P165" t="str">
            <v>Não</v>
          </cell>
          <cell r="Q165" t="str">
            <v>I</v>
          </cell>
          <cell r="R165"/>
          <cell r="S165" t="str">
            <v>Genérico</v>
          </cell>
          <cell r="T165" t="str">
            <v>Monitorado</v>
          </cell>
          <cell r="U165"/>
          <cell r="V165" t="str">
            <v>104344-23-2</v>
          </cell>
          <cell r="W165"/>
          <cell r="X165"/>
          <cell r="Y165"/>
          <cell r="Z165">
            <v>1300</v>
          </cell>
          <cell r="AA165" t="str">
            <v>191 - BETABLOQUEADORES PUROS</v>
          </cell>
          <cell r="AB165" t="str">
            <v>N</v>
          </cell>
          <cell r="AC165" t="str">
            <v>N</v>
          </cell>
          <cell r="AD165"/>
          <cell r="AE165" t="str">
            <v>N</v>
          </cell>
          <cell r="AF165">
            <v>0</v>
          </cell>
          <cell r="AG165">
            <v>88.64</v>
          </cell>
          <cell r="AH165">
            <v>93.99</v>
          </cell>
          <cell r="AI165">
            <v>0</v>
          </cell>
          <cell r="AJ165">
            <v>95.13</v>
          </cell>
          <cell r="AK165">
            <v>96.3</v>
          </cell>
          <cell r="AL165">
            <v>0</v>
          </cell>
          <cell r="AM165">
            <v>93.99</v>
          </cell>
          <cell r="AN165">
            <v>0</v>
          </cell>
          <cell r="AO165">
            <v>122.54</v>
          </cell>
          <cell r="AP165">
            <v>129.93</v>
          </cell>
          <cell r="AQ165">
            <v>0</v>
          </cell>
          <cell r="AR165">
            <v>131.5</v>
          </cell>
          <cell r="AS165">
            <v>133.12</v>
          </cell>
          <cell r="AT165">
            <v>0</v>
          </cell>
          <cell r="AU165">
            <v>129.93</v>
          </cell>
          <cell r="AV165">
            <v>0</v>
          </cell>
          <cell r="AW165">
            <v>91.36</v>
          </cell>
          <cell r="AX165">
            <v>96.86</v>
          </cell>
          <cell r="AY165">
            <v>97.45</v>
          </cell>
          <cell r="AZ165">
            <v>98.04</v>
          </cell>
          <cell r="BA165">
            <v>99.25</v>
          </cell>
          <cell r="BB165">
            <v>99.25</v>
          </cell>
          <cell r="BC165">
            <v>96.86</v>
          </cell>
          <cell r="BD165">
            <v>0</v>
          </cell>
          <cell r="BE165">
            <v>126.3</v>
          </cell>
          <cell r="BF165">
            <v>133.9</v>
          </cell>
          <cell r="BG165">
            <v>134.72</v>
          </cell>
          <cell r="BH165">
            <v>135.53</v>
          </cell>
          <cell r="BI165">
            <v>137.21</v>
          </cell>
          <cell r="BJ165">
            <v>138.91999999999999</v>
          </cell>
          <cell r="BK165">
            <v>133.9</v>
          </cell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</row>
        <row r="167">
          <cell r="A167"/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</row>
        <row r="168">
          <cell r="A168">
            <v>7891721070914</v>
          </cell>
          <cell r="B168">
            <v>1008901940306</v>
          </cell>
          <cell r="C168">
            <v>525403006111410</v>
          </cell>
          <cell r="D168" t="str">
            <v>CONCOR</v>
          </cell>
          <cell r="E168" t="str">
            <v>10 MG COM REV EST CART 2 BL AL PLAS INC X 14</v>
          </cell>
          <cell r="F168" t="str">
            <v>Comprimido revestido</v>
          </cell>
          <cell r="G168"/>
          <cell r="H168"/>
          <cell r="I168">
            <v>14</v>
          </cell>
          <cell r="J168"/>
          <cell r="K168" t="str">
            <v>Conformidade</v>
          </cell>
          <cell r="L168">
            <v>2</v>
          </cell>
          <cell r="M168" t="str">
            <v>Tarja Vermelha</v>
          </cell>
          <cell r="N168" t="str">
            <v>Não</v>
          </cell>
          <cell r="O168" t="str">
            <v>Não</v>
          </cell>
          <cell r="P168" t="str">
            <v>Não</v>
          </cell>
          <cell r="Q168" t="str">
            <v>I</v>
          </cell>
          <cell r="R168"/>
          <cell r="S168" t="str">
            <v>Genérico</v>
          </cell>
          <cell r="T168" t="str">
            <v>Monitorado</v>
          </cell>
          <cell r="U168"/>
          <cell r="V168" t="str">
            <v>66722-44-9</v>
          </cell>
          <cell r="W168"/>
          <cell r="X168"/>
          <cell r="Y168" t="str">
            <v>MG</v>
          </cell>
          <cell r="Z168">
            <v>1299</v>
          </cell>
          <cell r="AA168" t="str">
            <v>191 - BETABLOQUEADORES PUROS</v>
          </cell>
          <cell r="AB168" t="str">
            <v>N</v>
          </cell>
          <cell r="AC168" t="str">
            <v>N</v>
          </cell>
          <cell r="AD168">
            <v>0</v>
          </cell>
          <cell r="AE168" t="str">
            <v>N</v>
          </cell>
          <cell r="AF168">
            <v>0</v>
          </cell>
          <cell r="AG168">
            <v>82.73</v>
          </cell>
          <cell r="AH168">
            <v>87.72</v>
          </cell>
          <cell r="AI168">
            <v>0</v>
          </cell>
          <cell r="AJ168">
            <v>88.79</v>
          </cell>
          <cell r="AK168">
            <v>89.88</v>
          </cell>
          <cell r="AL168">
            <v>0</v>
          </cell>
          <cell r="AM168">
            <v>87.72</v>
          </cell>
          <cell r="AN168">
            <v>0</v>
          </cell>
          <cell r="AO168">
            <v>114.37</v>
          </cell>
          <cell r="AP168">
            <v>121.27</v>
          </cell>
          <cell r="AQ168">
            <v>0</v>
          </cell>
          <cell r="AR168">
            <v>122.74</v>
          </cell>
          <cell r="AS168">
            <v>124.25</v>
          </cell>
          <cell r="AT168">
            <v>0</v>
          </cell>
          <cell r="AU168">
            <v>121.27</v>
          </cell>
          <cell r="AV168">
            <v>0</v>
          </cell>
          <cell r="AW168">
            <v>85.27</v>
          </cell>
          <cell r="AX168">
            <v>90.4</v>
          </cell>
          <cell r="AY168">
            <v>90.95</v>
          </cell>
          <cell r="AZ168">
            <v>91.51</v>
          </cell>
          <cell r="BA168">
            <v>92.64</v>
          </cell>
          <cell r="BB168">
            <v>92.64</v>
          </cell>
          <cell r="BC168">
            <v>90.4</v>
          </cell>
          <cell r="BD168">
            <v>0</v>
          </cell>
          <cell r="BE168">
            <v>117.88</v>
          </cell>
          <cell r="BF168">
            <v>124.97</v>
          </cell>
          <cell r="BG168">
            <v>125.73</v>
          </cell>
          <cell r="BH168">
            <v>126.5</v>
          </cell>
          <cell r="BI168">
            <v>128.07</v>
          </cell>
          <cell r="BJ168">
            <v>129.66</v>
          </cell>
          <cell r="BK168">
            <v>124.97</v>
          </cell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</row>
        <row r="170">
          <cell r="A170"/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</row>
        <row r="171">
          <cell r="A171">
            <v>7891721024917</v>
          </cell>
          <cell r="B171">
            <v>1008901940446</v>
          </cell>
          <cell r="C171">
            <v>525416060047403</v>
          </cell>
          <cell r="D171" t="str">
            <v>CONCOR</v>
          </cell>
          <cell r="E171" t="str">
            <v>1,25 MG COM REV EST CART BL AL AL X 20</v>
          </cell>
          <cell r="F171" t="str">
            <v>Comprimido revestido</v>
          </cell>
          <cell r="G171"/>
          <cell r="H171"/>
          <cell r="I171">
            <v>20</v>
          </cell>
          <cell r="J171"/>
          <cell r="K171" t="str">
            <v>Conformidade</v>
          </cell>
          <cell r="L171">
            <v>2</v>
          </cell>
          <cell r="M171" t="str">
            <v>Tarja Vermelha</v>
          </cell>
          <cell r="N171" t="str">
            <v>Não</v>
          </cell>
          <cell r="O171" t="str">
            <v>Não</v>
          </cell>
          <cell r="P171" t="str">
            <v>Não</v>
          </cell>
          <cell r="Q171" t="str">
            <v>I</v>
          </cell>
          <cell r="R171"/>
          <cell r="S171" t="str">
            <v>Genérico</v>
          </cell>
          <cell r="T171" t="str">
            <v>Monitorado</v>
          </cell>
          <cell r="U171"/>
          <cell r="V171" t="str">
            <v>104344-23-2</v>
          </cell>
          <cell r="W171"/>
          <cell r="X171"/>
          <cell r="Y171"/>
          <cell r="Z171">
            <v>1300</v>
          </cell>
          <cell r="AA171" t="str">
            <v>191 - BETABLOQUEADORES PUROS</v>
          </cell>
          <cell r="AB171" t="str">
            <v>N</v>
          </cell>
          <cell r="AC171" t="str">
            <v>N</v>
          </cell>
          <cell r="AD171"/>
          <cell r="AE171" t="str">
            <v>N</v>
          </cell>
          <cell r="AF171">
            <v>0</v>
          </cell>
          <cell r="AG171">
            <v>37.020000000000003</v>
          </cell>
          <cell r="AH171">
            <v>39.25</v>
          </cell>
          <cell r="AI171">
            <v>0</v>
          </cell>
          <cell r="AJ171">
            <v>39.729999999999997</v>
          </cell>
          <cell r="AK171">
            <v>40.22</v>
          </cell>
          <cell r="AL171">
            <v>0</v>
          </cell>
          <cell r="AM171">
            <v>39.25</v>
          </cell>
          <cell r="AN171">
            <v>0</v>
          </cell>
          <cell r="AO171">
            <v>51.18</v>
          </cell>
          <cell r="AP171">
            <v>54.26</v>
          </cell>
          <cell r="AQ171">
            <v>0</v>
          </cell>
          <cell r="AR171">
            <v>54.92</v>
          </cell>
          <cell r="AS171">
            <v>55.6</v>
          </cell>
          <cell r="AT171">
            <v>0</v>
          </cell>
          <cell r="AU171">
            <v>54.26</v>
          </cell>
          <cell r="AV171">
            <v>0</v>
          </cell>
          <cell r="AW171">
            <v>38.15</v>
          </cell>
          <cell r="AX171">
            <v>40.450000000000003</v>
          </cell>
          <cell r="AY171">
            <v>40.700000000000003</v>
          </cell>
          <cell r="AZ171">
            <v>40.950000000000003</v>
          </cell>
          <cell r="BA171">
            <v>41.45</v>
          </cell>
          <cell r="BB171">
            <v>41.45</v>
          </cell>
          <cell r="BC171">
            <v>40.450000000000003</v>
          </cell>
          <cell r="BD171">
            <v>0</v>
          </cell>
          <cell r="BE171">
            <v>52.74</v>
          </cell>
          <cell r="BF171">
            <v>55.92</v>
          </cell>
          <cell r="BG171">
            <v>56.27</v>
          </cell>
          <cell r="BH171">
            <v>56.6</v>
          </cell>
          <cell r="BI171">
            <v>57.3</v>
          </cell>
          <cell r="BJ171">
            <v>58.02</v>
          </cell>
          <cell r="BK171">
            <v>55.92</v>
          </cell>
        </row>
        <row r="172">
          <cell r="A172">
            <v>7891721024924</v>
          </cell>
          <cell r="B172">
            <v>1008901940454</v>
          </cell>
          <cell r="C172">
            <v>525416060047503</v>
          </cell>
          <cell r="D172" t="str">
            <v>CONCOR</v>
          </cell>
          <cell r="E172" t="str">
            <v>1,25 MG COM REV EST CART BL AL AL X 30</v>
          </cell>
          <cell r="F172" t="str">
            <v>Comprimido revestido</v>
          </cell>
          <cell r="G172"/>
          <cell r="H172"/>
          <cell r="I172">
            <v>30</v>
          </cell>
          <cell r="J172"/>
          <cell r="K172" t="str">
            <v>Conformidade</v>
          </cell>
          <cell r="L172">
            <v>2</v>
          </cell>
          <cell r="M172" t="str">
            <v>Tarja Vermelha</v>
          </cell>
          <cell r="N172" t="str">
            <v>Não</v>
          </cell>
          <cell r="O172" t="str">
            <v>Não</v>
          </cell>
          <cell r="P172" t="str">
            <v>Não</v>
          </cell>
          <cell r="Q172" t="str">
            <v>I</v>
          </cell>
          <cell r="R172"/>
          <cell r="S172" t="str">
            <v>Genérico</v>
          </cell>
          <cell r="T172" t="str">
            <v>Monitorado</v>
          </cell>
          <cell r="U172"/>
          <cell r="V172" t="str">
            <v>104344-23-2</v>
          </cell>
          <cell r="W172"/>
          <cell r="X172"/>
          <cell r="Y172"/>
          <cell r="Z172">
            <v>1300</v>
          </cell>
          <cell r="AA172" t="str">
            <v>191 - BETABLOQUEADORES PUROS</v>
          </cell>
          <cell r="AB172" t="str">
            <v>N</v>
          </cell>
          <cell r="AC172" t="str">
            <v>N</v>
          </cell>
          <cell r="AD172"/>
          <cell r="AE172" t="str">
            <v>N</v>
          </cell>
          <cell r="AF172">
            <v>0</v>
          </cell>
          <cell r="AG172">
            <v>55.53</v>
          </cell>
          <cell r="AH172">
            <v>58.87</v>
          </cell>
          <cell r="AI172">
            <v>0</v>
          </cell>
          <cell r="AJ172">
            <v>59.59</v>
          </cell>
          <cell r="AK172">
            <v>60.32</v>
          </cell>
          <cell r="AL172">
            <v>0</v>
          </cell>
          <cell r="AM172">
            <v>58.87</v>
          </cell>
          <cell r="AN172">
            <v>0</v>
          </cell>
          <cell r="AO172">
            <v>76.760000000000005</v>
          </cell>
          <cell r="AP172">
            <v>81.39</v>
          </cell>
          <cell r="AQ172">
            <v>0</v>
          </cell>
          <cell r="AR172">
            <v>82.37</v>
          </cell>
          <cell r="AS172">
            <v>83.39</v>
          </cell>
          <cell r="AT172">
            <v>0</v>
          </cell>
          <cell r="AU172">
            <v>81.39</v>
          </cell>
          <cell r="AV172">
            <v>0</v>
          </cell>
          <cell r="AW172">
            <v>57.23</v>
          </cell>
          <cell r="AX172">
            <v>60.67</v>
          </cell>
          <cell r="AY172">
            <v>61.04</v>
          </cell>
          <cell r="AZ172">
            <v>61.41</v>
          </cell>
          <cell r="BA172">
            <v>62.17</v>
          </cell>
          <cell r="BB172">
            <v>62.17</v>
          </cell>
          <cell r="BC172">
            <v>60.67</v>
          </cell>
          <cell r="BD172">
            <v>0</v>
          </cell>
          <cell r="BE172">
            <v>79.12</v>
          </cell>
          <cell r="BF172">
            <v>83.87</v>
          </cell>
          <cell r="BG172">
            <v>84.38</v>
          </cell>
          <cell r="BH172">
            <v>84.9</v>
          </cell>
          <cell r="BI172">
            <v>85.95</v>
          </cell>
          <cell r="BJ172">
            <v>87.02</v>
          </cell>
          <cell r="BK172">
            <v>83.87</v>
          </cell>
        </row>
        <row r="173">
          <cell r="A173"/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</row>
        <row r="174">
          <cell r="A174"/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</row>
        <row r="175">
          <cell r="A175">
            <v>7891721070600</v>
          </cell>
          <cell r="B175">
            <v>1008901940063</v>
          </cell>
          <cell r="C175">
            <v>525403005113411</v>
          </cell>
          <cell r="D175" t="str">
            <v>CONCOR</v>
          </cell>
          <cell r="E175" t="str">
            <v>1,25 MG COM REV EST CART 2 BL AL PLAS INC X 14</v>
          </cell>
          <cell r="F175" t="str">
            <v>Comprimido revestido</v>
          </cell>
          <cell r="G175"/>
          <cell r="H175"/>
          <cell r="I175">
            <v>28</v>
          </cell>
          <cell r="J175"/>
          <cell r="K175" t="str">
            <v>Conformidade</v>
          </cell>
          <cell r="L175">
            <v>2</v>
          </cell>
          <cell r="M175" t="str">
            <v>Tarja Vermelha</v>
          </cell>
          <cell r="N175" t="str">
            <v>Não</v>
          </cell>
          <cell r="O175" t="str">
            <v>Não</v>
          </cell>
          <cell r="P175" t="str">
            <v>Não</v>
          </cell>
          <cell r="Q175" t="str">
            <v>I</v>
          </cell>
          <cell r="R175"/>
          <cell r="S175" t="str">
            <v>Genérico</v>
          </cell>
          <cell r="T175" t="str">
            <v>Monitorado</v>
          </cell>
          <cell r="U175"/>
          <cell r="V175" t="str">
            <v>66722-44-9</v>
          </cell>
          <cell r="W175"/>
          <cell r="X175"/>
          <cell r="Y175" t="str">
            <v>MG</v>
          </cell>
          <cell r="Z175">
            <v>1299</v>
          </cell>
          <cell r="AA175" t="str">
            <v>191 - BETABLOQUEADORES PUROS</v>
          </cell>
          <cell r="AB175" t="str">
            <v>N</v>
          </cell>
          <cell r="AC175" t="str">
            <v>N</v>
          </cell>
          <cell r="AD175">
            <v>0</v>
          </cell>
          <cell r="AE175" t="str">
            <v>N</v>
          </cell>
          <cell r="AF175">
            <v>0</v>
          </cell>
          <cell r="AG175">
            <v>51.84</v>
          </cell>
          <cell r="AH175">
            <v>54.96</v>
          </cell>
          <cell r="AI175">
            <v>0</v>
          </cell>
          <cell r="AJ175">
            <v>55.63</v>
          </cell>
          <cell r="AK175">
            <v>56.32</v>
          </cell>
          <cell r="AL175">
            <v>0</v>
          </cell>
          <cell r="AM175">
            <v>54.96</v>
          </cell>
          <cell r="AN175">
            <v>0</v>
          </cell>
          <cell r="AO175">
            <v>71.67</v>
          </cell>
          <cell r="AP175">
            <v>75.98</v>
          </cell>
          <cell r="AQ175">
            <v>0</v>
          </cell>
          <cell r="AR175">
            <v>76.91</v>
          </cell>
          <cell r="AS175">
            <v>77.86</v>
          </cell>
          <cell r="AT175">
            <v>0</v>
          </cell>
          <cell r="AU175">
            <v>75.98</v>
          </cell>
          <cell r="AV175">
            <v>0</v>
          </cell>
          <cell r="AW175">
            <v>53.42</v>
          </cell>
          <cell r="AX175">
            <v>56.64</v>
          </cell>
          <cell r="AY175">
            <v>56.98</v>
          </cell>
          <cell r="AZ175">
            <v>57.33</v>
          </cell>
          <cell r="BA175">
            <v>58.04</v>
          </cell>
          <cell r="BB175">
            <v>58.04</v>
          </cell>
          <cell r="BC175">
            <v>56.64</v>
          </cell>
          <cell r="BD175">
            <v>0</v>
          </cell>
          <cell r="BE175">
            <v>73.849999999999994</v>
          </cell>
          <cell r="BF175">
            <v>78.3</v>
          </cell>
          <cell r="BG175">
            <v>78.77</v>
          </cell>
          <cell r="BH175">
            <v>79.260000000000005</v>
          </cell>
          <cell r="BI175">
            <v>80.239999999999995</v>
          </cell>
          <cell r="BJ175">
            <v>81.25</v>
          </cell>
          <cell r="BK175">
            <v>78.3</v>
          </cell>
        </row>
        <row r="176">
          <cell r="A176"/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</row>
        <row r="177">
          <cell r="A177"/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</row>
        <row r="178">
          <cell r="A178">
            <v>7891721070655</v>
          </cell>
          <cell r="B178">
            <v>1008901940128</v>
          </cell>
          <cell r="C178">
            <v>525403007116416</v>
          </cell>
          <cell r="D178" t="str">
            <v>CONCOR</v>
          </cell>
          <cell r="E178" t="str">
            <v>2,5 MG COM REV EST CART 2 BL AL PLAS INC X 14</v>
          </cell>
          <cell r="F178" t="str">
            <v>Comprimido revestido</v>
          </cell>
          <cell r="G178"/>
          <cell r="H178"/>
          <cell r="I178">
            <v>28</v>
          </cell>
          <cell r="J178"/>
          <cell r="K178" t="str">
            <v>Conformidade</v>
          </cell>
          <cell r="L178">
            <v>2</v>
          </cell>
          <cell r="M178" t="str">
            <v>Tarja Vermelha</v>
          </cell>
          <cell r="N178" t="str">
            <v>Não</v>
          </cell>
          <cell r="O178" t="str">
            <v>Não</v>
          </cell>
          <cell r="P178" t="str">
            <v>Não</v>
          </cell>
          <cell r="Q178" t="str">
            <v>I</v>
          </cell>
          <cell r="R178"/>
          <cell r="S178" t="str">
            <v>Genérico</v>
          </cell>
          <cell r="T178" t="str">
            <v>Monitorado</v>
          </cell>
          <cell r="U178"/>
          <cell r="V178" t="str">
            <v>66722-44-9</v>
          </cell>
          <cell r="W178"/>
          <cell r="X178"/>
          <cell r="Y178" t="str">
            <v>MG</v>
          </cell>
          <cell r="Z178">
            <v>1299</v>
          </cell>
          <cell r="AA178" t="str">
            <v>191 - BETABLOQUEADORES PUROS</v>
          </cell>
          <cell r="AB178" t="str">
            <v>N</v>
          </cell>
          <cell r="AC178" t="str">
            <v>N</v>
          </cell>
          <cell r="AD178">
            <v>0</v>
          </cell>
          <cell r="AE178" t="str">
            <v>N</v>
          </cell>
          <cell r="AF178">
            <v>0</v>
          </cell>
          <cell r="AG178">
            <v>59.7</v>
          </cell>
          <cell r="AH178">
            <v>63.3</v>
          </cell>
          <cell r="AI178">
            <v>0</v>
          </cell>
          <cell r="AJ178">
            <v>64.069999999999993</v>
          </cell>
          <cell r="AK178">
            <v>64.86</v>
          </cell>
          <cell r="AL178">
            <v>0</v>
          </cell>
          <cell r="AM178">
            <v>63.3</v>
          </cell>
          <cell r="AN178">
            <v>0</v>
          </cell>
          <cell r="AO178">
            <v>82.53</v>
          </cell>
          <cell r="AP178">
            <v>87.51</v>
          </cell>
          <cell r="AQ178">
            <v>0</v>
          </cell>
          <cell r="AR178">
            <v>88.57</v>
          </cell>
          <cell r="AS178">
            <v>89.67</v>
          </cell>
          <cell r="AT178">
            <v>0</v>
          </cell>
          <cell r="AU178">
            <v>87.51</v>
          </cell>
          <cell r="AV178">
            <v>0</v>
          </cell>
          <cell r="AW178">
            <v>61.53</v>
          </cell>
          <cell r="AX178">
            <v>65.23</v>
          </cell>
          <cell r="AY178">
            <v>65.63</v>
          </cell>
          <cell r="AZ178">
            <v>66.03</v>
          </cell>
          <cell r="BA178">
            <v>66.849999999999994</v>
          </cell>
          <cell r="BB178">
            <v>66.849999999999994</v>
          </cell>
          <cell r="BC178">
            <v>65.23</v>
          </cell>
          <cell r="BD178">
            <v>0</v>
          </cell>
          <cell r="BE178">
            <v>85.06</v>
          </cell>
          <cell r="BF178">
            <v>90.18</v>
          </cell>
          <cell r="BG178">
            <v>90.73</v>
          </cell>
          <cell r="BH178">
            <v>91.28</v>
          </cell>
          <cell r="BI178">
            <v>92.42</v>
          </cell>
          <cell r="BJ178">
            <v>93.56</v>
          </cell>
          <cell r="BK178">
            <v>90.18</v>
          </cell>
        </row>
        <row r="179">
          <cell r="A179"/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</row>
        <row r="180">
          <cell r="A180">
            <v>7891721024979</v>
          </cell>
          <cell r="B180">
            <v>1008901940500</v>
          </cell>
          <cell r="C180">
            <v>525416060047603</v>
          </cell>
          <cell r="D180" t="str">
            <v>CONCOR</v>
          </cell>
          <cell r="E180" t="str">
            <v>2,5 MG COM REV EST CART BL AL AL X 20</v>
          </cell>
          <cell r="F180" t="str">
            <v>Comprimido revestido</v>
          </cell>
          <cell r="G180"/>
          <cell r="H180"/>
          <cell r="I180">
            <v>20</v>
          </cell>
          <cell r="J180"/>
          <cell r="K180" t="str">
            <v>Conformidade</v>
          </cell>
          <cell r="L180">
            <v>2</v>
          </cell>
          <cell r="M180" t="str">
            <v>Tarja Vermelha</v>
          </cell>
          <cell r="N180" t="str">
            <v>Não</v>
          </cell>
          <cell r="O180" t="str">
            <v>Não</v>
          </cell>
          <cell r="P180" t="str">
            <v>Não</v>
          </cell>
          <cell r="Q180" t="str">
            <v>I</v>
          </cell>
          <cell r="R180"/>
          <cell r="S180" t="str">
            <v>Genérico</v>
          </cell>
          <cell r="T180" t="str">
            <v>Monitorado</v>
          </cell>
          <cell r="U180"/>
          <cell r="V180" t="str">
            <v>104344-23-2</v>
          </cell>
          <cell r="W180"/>
          <cell r="X180"/>
          <cell r="Y180"/>
          <cell r="Z180">
            <v>1300</v>
          </cell>
          <cell r="AA180" t="str">
            <v>191 - BETABLOQUEADORES PUROS</v>
          </cell>
          <cell r="AB180" t="str">
            <v>N</v>
          </cell>
          <cell r="AC180" t="str">
            <v>N</v>
          </cell>
          <cell r="AD180"/>
          <cell r="AE180" t="str">
            <v>N</v>
          </cell>
          <cell r="AF180">
            <v>0</v>
          </cell>
          <cell r="AG180">
            <v>42.64</v>
          </cell>
          <cell r="AH180">
            <v>45.21</v>
          </cell>
          <cell r="AI180">
            <v>0</v>
          </cell>
          <cell r="AJ180">
            <v>45.76</v>
          </cell>
          <cell r="AK180">
            <v>46.32</v>
          </cell>
          <cell r="AL180">
            <v>0</v>
          </cell>
          <cell r="AM180">
            <v>45.21</v>
          </cell>
          <cell r="AN180">
            <v>0</v>
          </cell>
          <cell r="AO180">
            <v>58.94</v>
          </cell>
          <cell r="AP180">
            <v>62.5</v>
          </cell>
          <cell r="AQ180">
            <v>0</v>
          </cell>
          <cell r="AR180">
            <v>63.26</v>
          </cell>
          <cell r="AS180">
            <v>64.03</v>
          </cell>
          <cell r="AT180">
            <v>0</v>
          </cell>
          <cell r="AU180">
            <v>62.5</v>
          </cell>
          <cell r="AV180">
            <v>0</v>
          </cell>
          <cell r="AW180">
            <v>43.94</v>
          </cell>
          <cell r="AX180">
            <v>46.59</v>
          </cell>
          <cell r="AY180">
            <v>46.87</v>
          </cell>
          <cell r="AZ180">
            <v>47.16</v>
          </cell>
          <cell r="BA180">
            <v>47.74</v>
          </cell>
          <cell r="BB180">
            <v>47.74</v>
          </cell>
          <cell r="BC180">
            <v>46.59</v>
          </cell>
          <cell r="BD180">
            <v>0</v>
          </cell>
          <cell r="BE180">
            <v>60.74</v>
          </cell>
          <cell r="BF180">
            <v>64.41</v>
          </cell>
          <cell r="BG180">
            <v>64.8</v>
          </cell>
          <cell r="BH180">
            <v>65.2</v>
          </cell>
          <cell r="BI180">
            <v>66</v>
          </cell>
          <cell r="BJ180">
            <v>66.83</v>
          </cell>
          <cell r="BK180">
            <v>64.41</v>
          </cell>
        </row>
        <row r="181">
          <cell r="A181">
            <v>7891721024986</v>
          </cell>
          <cell r="B181">
            <v>1008901940519</v>
          </cell>
          <cell r="C181">
            <v>525416060047703</v>
          </cell>
          <cell r="D181" t="str">
            <v>CONCOR</v>
          </cell>
          <cell r="E181" t="str">
            <v>2,5 MG COM REV EST CART BL AL AL X 30</v>
          </cell>
          <cell r="F181" t="str">
            <v>Comprimido revestido</v>
          </cell>
          <cell r="G181"/>
          <cell r="H181"/>
          <cell r="I181">
            <v>30</v>
          </cell>
          <cell r="J181"/>
          <cell r="K181" t="str">
            <v>Conformidade</v>
          </cell>
          <cell r="L181">
            <v>2</v>
          </cell>
          <cell r="M181" t="str">
            <v>Tarja Vermelha</v>
          </cell>
          <cell r="N181" t="str">
            <v>Não</v>
          </cell>
          <cell r="O181" t="str">
            <v>Não</v>
          </cell>
          <cell r="P181" t="str">
            <v>Não</v>
          </cell>
          <cell r="Q181" t="str">
            <v>I</v>
          </cell>
          <cell r="R181"/>
          <cell r="S181" t="str">
            <v>Genérico</v>
          </cell>
          <cell r="T181" t="str">
            <v>Monitorado</v>
          </cell>
          <cell r="U181"/>
          <cell r="V181" t="str">
            <v>104344-23-2</v>
          </cell>
          <cell r="W181"/>
          <cell r="X181"/>
          <cell r="Y181"/>
          <cell r="Z181">
            <v>1300</v>
          </cell>
          <cell r="AA181" t="str">
            <v>191 - BETABLOQUEADORES PUROS</v>
          </cell>
          <cell r="AB181" t="str">
            <v>N</v>
          </cell>
          <cell r="AC181" t="str">
            <v>N</v>
          </cell>
          <cell r="AD181"/>
          <cell r="AE181" t="str">
            <v>N</v>
          </cell>
          <cell r="AF181">
            <v>0</v>
          </cell>
          <cell r="AG181">
            <v>63.96</v>
          </cell>
          <cell r="AH181">
            <v>67.819999999999993</v>
          </cell>
          <cell r="AI181">
            <v>0</v>
          </cell>
          <cell r="AJ181">
            <v>68.64</v>
          </cell>
          <cell r="AK181">
            <v>69.48</v>
          </cell>
          <cell r="AL181">
            <v>0</v>
          </cell>
          <cell r="AM181">
            <v>67.819999999999993</v>
          </cell>
          <cell r="AN181">
            <v>0</v>
          </cell>
          <cell r="AO181">
            <v>88.41</v>
          </cell>
          <cell r="AP181">
            <v>93.75</v>
          </cell>
          <cell r="AQ181">
            <v>0</v>
          </cell>
          <cell r="AR181">
            <v>94.89</v>
          </cell>
          <cell r="AS181">
            <v>96.05</v>
          </cell>
          <cell r="AT181">
            <v>0</v>
          </cell>
          <cell r="AU181">
            <v>93.75</v>
          </cell>
          <cell r="AV181">
            <v>0</v>
          </cell>
          <cell r="AW181">
            <v>65.92</v>
          </cell>
          <cell r="AX181">
            <v>69.89</v>
          </cell>
          <cell r="AY181">
            <v>70.31</v>
          </cell>
          <cell r="AZ181">
            <v>70.739999999999995</v>
          </cell>
          <cell r="BA181">
            <v>71.61</v>
          </cell>
          <cell r="BB181">
            <v>71.61</v>
          </cell>
          <cell r="BC181">
            <v>69.89</v>
          </cell>
          <cell r="BD181">
            <v>0</v>
          </cell>
          <cell r="BE181">
            <v>91.13</v>
          </cell>
          <cell r="BF181">
            <v>96.62</v>
          </cell>
          <cell r="BG181">
            <v>97.2</v>
          </cell>
          <cell r="BH181">
            <v>97.79</v>
          </cell>
          <cell r="BI181">
            <v>99</v>
          </cell>
          <cell r="BJ181">
            <v>100.24</v>
          </cell>
          <cell r="BK181">
            <v>96.62</v>
          </cell>
        </row>
        <row r="182">
          <cell r="A182"/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</row>
        <row r="183">
          <cell r="A183"/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</row>
        <row r="184">
          <cell r="A184">
            <v>7891721040115</v>
          </cell>
          <cell r="B184">
            <v>1008901940111</v>
          </cell>
          <cell r="C184">
            <v>525403003110413</v>
          </cell>
          <cell r="D184" t="str">
            <v>CONCOR</v>
          </cell>
          <cell r="E184" t="str">
            <v>2,5 MG COM REV EST CART BL AL PLAS INC X 14</v>
          </cell>
          <cell r="F184" t="str">
            <v>Comprimido revestido</v>
          </cell>
          <cell r="G184"/>
          <cell r="H184"/>
          <cell r="I184">
            <v>14</v>
          </cell>
          <cell r="J184"/>
          <cell r="K184" t="str">
            <v>Conformidade</v>
          </cell>
          <cell r="L184">
            <v>2</v>
          </cell>
          <cell r="M184" t="str">
            <v>Tarja Vermelha</v>
          </cell>
          <cell r="N184" t="str">
            <v>Não</v>
          </cell>
          <cell r="O184" t="str">
            <v>Não</v>
          </cell>
          <cell r="P184" t="str">
            <v>Não</v>
          </cell>
          <cell r="Q184" t="str">
            <v>I</v>
          </cell>
          <cell r="R184"/>
          <cell r="S184" t="str">
            <v>Genérico</v>
          </cell>
          <cell r="T184" t="str">
            <v>Monitorado</v>
          </cell>
          <cell r="U184"/>
          <cell r="V184" t="str">
            <v>66722-44-9</v>
          </cell>
          <cell r="W184"/>
          <cell r="X184"/>
          <cell r="Y184" t="str">
            <v>MG</v>
          </cell>
          <cell r="Z184">
            <v>1299</v>
          </cell>
          <cell r="AA184" t="str">
            <v>191 - BETABLOQUEADORES PUROS</v>
          </cell>
          <cell r="AB184" t="str">
            <v>N</v>
          </cell>
          <cell r="AC184" t="str">
            <v>N</v>
          </cell>
          <cell r="AD184">
            <v>0</v>
          </cell>
          <cell r="AE184" t="str">
            <v>N</v>
          </cell>
          <cell r="AF184">
            <v>0</v>
          </cell>
          <cell r="AG184">
            <v>29.85</v>
          </cell>
          <cell r="AH184">
            <v>31.64</v>
          </cell>
          <cell r="AI184">
            <v>0</v>
          </cell>
          <cell r="AJ184">
            <v>32.03</v>
          </cell>
          <cell r="AK184">
            <v>32.42</v>
          </cell>
          <cell r="AL184">
            <v>0</v>
          </cell>
          <cell r="AM184">
            <v>31.64</v>
          </cell>
          <cell r="AN184">
            <v>0</v>
          </cell>
          <cell r="AO184">
            <v>41.27</v>
          </cell>
          <cell r="AP184">
            <v>43.74</v>
          </cell>
          <cell r="AQ184">
            <v>0</v>
          </cell>
          <cell r="AR184">
            <v>44.28</v>
          </cell>
          <cell r="AS184">
            <v>44.82</v>
          </cell>
          <cell r="AT184">
            <v>0</v>
          </cell>
          <cell r="AU184">
            <v>43.74</v>
          </cell>
          <cell r="AV184">
            <v>0</v>
          </cell>
          <cell r="AW184">
            <v>30.76</v>
          </cell>
          <cell r="AX184">
            <v>32.61</v>
          </cell>
          <cell r="AY184">
            <v>32.81</v>
          </cell>
          <cell r="AZ184">
            <v>33.01</v>
          </cell>
          <cell r="BA184">
            <v>33.42</v>
          </cell>
          <cell r="BB184">
            <v>33.42</v>
          </cell>
          <cell r="BC184">
            <v>32.61</v>
          </cell>
          <cell r="BD184">
            <v>0</v>
          </cell>
          <cell r="BE184">
            <v>42.52</v>
          </cell>
          <cell r="BF184">
            <v>45.08</v>
          </cell>
          <cell r="BG184">
            <v>45.36</v>
          </cell>
          <cell r="BH184">
            <v>45.63</v>
          </cell>
          <cell r="BI184">
            <v>46.2</v>
          </cell>
          <cell r="BJ184">
            <v>46.78</v>
          </cell>
          <cell r="BK184">
            <v>45.08</v>
          </cell>
        </row>
        <row r="185">
          <cell r="A185">
            <v>7891721025099</v>
          </cell>
          <cell r="B185">
            <v>1008901940561</v>
          </cell>
          <cell r="C185">
            <v>525416060047803</v>
          </cell>
          <cell r="D185" t="str">
            <v>CONCOR</v>
          </cell>
          <cell r="E185" t="str">
            <v>5 MG COM REV EST CART BL AL AL X 20</v>
          </cell>
          <cell r="F185" t="str">
            <v>Comprimido revestido</v>
          </cell>
          <cell r="G185"/>
          <cell r="H185"/>
          <cell r="I185">
            <v>20</v>
          </cell>
          <cell r="J185"/>
          <cell r="K185" t="str">
            <v>Conformidade</v>
          </cell>
          <cell r="L185">
            <v>2</v>
          </cell>
          <cell r="M185" t="str">
            <v>Tarja Vermelha</v>
          </cell>
          <cell r="N185" t="str">
            <v>Não</v>
          </cell>
          <cell r="O185" t="str">
            <v>Não</v>
          </cell>
          <cell r="P185" t="str">
            <v>Não</v>
          </cell>
          <cell r="Q185" t="str">
            <v>I</v>
          </cell>
          <cell r="R185"/>
          <cell r="S185" t="str">
            <v>Genérico</v>
          </cell>
          <cell r="T185" t="str">
            <v>Monitorado</v>
          </cell>
          <cell r="U185"/>
          <cell r="V185" t="str">
            <v>104344-23-2</v>
          </cell>
          <cell r="W185"/>
          <cell r="X185"/>
          <cell r="Y185"/>
          <cell r="Z185">
            <v>1300</v>
          </cell>
          <cell r="AA185" t="str">
            <v>191 - BETABLOQUEADORES PUROS</v>
          </cell>
          <cell r="AB185" t="str">
            <v>N</v>
          </cell>
          <cell r="AC185" t="str">
            <v>N</v>
          </cell>
          <cell r="AD185"/>
          <cell r="AE185" t="str">
            <v>N</v>
          </cell>
          <cell r="AF185">
            <v>0</v>
          </cell>
          <cell r="AG185">
            <v>51.85</v>
          </cell>
          <cell r="AH185">
            <v>54.98</v>
          </cell>
          <cell r="AI185">
            <v>0</v>
          </cell>
          <cell r="AJ185">
            <v>55.65</v>
          </cell>
          <cell r="AK185">
            <v>56.33</v>
          </cell>
          <cell r="AL185">
            <v>0</v>
          </cell>
          <cell r="AM185">
            <v>54.98</v>
          </cell>
          <cell r="AN185">
            <v>0</v>
          </cell>
          <cell r="AO185">
            <v>71.680000000000007</v>
          </cell>
          <cell r="AP185">
            <v>76.010000000000005</v>
          </cell>
          <cell r="AQ185">
            <v>0</v>
          </cell>
          <cell r="AR185">
            <v>76.930000000000007</v>
          </cell>
          <cell r="AS185">
            <v>77.87</v>
          </cell>
          <cell r="AT185">
            <v>0</v>
          </cell>
          <cell r="AU185">
            <v>76.010000000000005</v>
          </cell>
          <cell r="AV185">
            <v>0</v>
          </cell>
          <cell r="AW185">
            <v>53.44</v>
          </cell>
          <cell r="AX185">
            <v>56.66</v>
          </cell>
          <cell r="AY185">
            <v>57</v>
          </cell>
          <cell r="AZ185">
            <v>57.35</v>
          </cell>
          <cell r="BA185">
            <v>58.06</v>
          </cell>
          <cell r="BB185">
            <v>58.06</v>
          </cell>
          <cell r="BC185">
            <v>56.66</v>
          </cell>
          <cell r="BD185">
            <v>0</v>
          </cell>
          <cell r="BE185">
            <v>73.88</v>
          </cell>
          <cell r="BF185">
            <v>78.33</v>
          </cell>
          <cell r="BG185">
            <v>78.8</v>
          </cell>
          <cell r="BH185">
            <v>79.290000000000006</v>
          </cell>
          <cell r="BI185">
            <v>80.260000000000005</v>
          </cell>
          <cell r="BJ185">
            <v>81.27</v>
          </cell>
          <cell r="BK185">
            <v>78.33</v>
          </cell>
        </row>
        <row r="186">
          <cell r="A186">
            <v>7891721025105</v>
          </cell>
          <cell r="B186">
            <v>1008901940578</v>
          </cell>
          <cell r="C186">
            <v>525416060047903</v>
          </cell>
          <cell r="D186" t="str">
            <v>CONCOR</v>
          </cell>
          <cell r="E186" t="str">
            <v>5 MG COM REV EST CART BL AL AL X 30</v>
          </cell>
          <cell r="F186" t="str">
            <v>Comprimido revestido</v>
          </cell>
          <cell r="G186"/>
          <cell r="H186"/>
          <cell r="I186">
            <v>30</v>
          </cell>
          <cell r="J186"/>
          <cell r="K186" t="str">
            <v>Conformidade</v>
          </cell>
          <cell r="L186">
            <v>2</v>
          </cell>
          <cell r="M186" t="str">
            <v>Tarja Vermelha</v>
          </cell>
          <cell r="N186" t="str">
            <v>Não</v>
          </cell>
          <cell r="O186" t="str">
            <v>Não</v>
          </cell>
          <cell r="P186" t="str">
            <v>Não</v>
          </cell>
          <cell r="Q186" t="str">
            <v>I</v>
          </cell>
          <cell r="R186"/>
          <cell r="S186" t="str">
            <v>Genérico</v>
          </cell>
          <cell r="T186" t="str">
            <v>Monitorado</v>
          </cell>
          <cell r="U186"/>
          <cell r="V186" t="str">
            <v>104344-23-2</v>
          </cell>
          <cell r="W186"/>
          <cell r="X186"/>
          <cell r="Y186"/>
          <cell r="Z186">
            <v>1300</v>
          </cell>
          <cell r="AA186" t="str">
            <v>191 - BETABLOQUEADORES PUROS</v>
          </cell>
          <cell r="AB186" t="str">
            <v>N</v>
          </cell>
          <cell r="AC186" t="str">
            <v>N</v>
          </cell>
          <cell r="AD186"/>
          <cell r="AE186" t="str">
            <v>N</v>
          </cell>
          <cell r="AF186">
            <v>0</v>
          </cell>
          <cell r="AG186">
            <v>77.790000000000006</v>
          </cell>
          <cell r="AH186">
            <v>82.48</v>
          </cell>
          <cell r="AI186">
            <v>0</v>
          </cell>
          <cell r="AJ186">
            <v>83.48</v>
          </cell>
          <cell r="AK186">
            <v>84.51</v>
          </cell>
          <cell r="AL186">
            <v>0</v>
          </cell>
          <cell r="AM186">
            <v>82.48</v>
          </cell>
          <cell r="AN186">
            <v>0</v>
          </cell>
          <cell r="AO186">
            <v>107.53</v>
          </cell>
          <cell r="AP186">
            <v>114.01</v>
          </cell>
          <cell r="AQ186">
            <v>0</v>
          </cell>
          <cell r="AR186">
            <v>115.4</v>
          </cell>
          <cell r="AS186">
            <v>116.82</v>
          </cell>
          <cell r="AT186">
            <v>0</v>
          </cell>
          <cell r="AU186">
            <v>114.01</v>
          </cell>
          <cell r="AV186">
            <v>0</v>
          </cell>
          <cell r="AW186">
            <v>80.17</v>
          </cell>
          <cell r="AX186">
            <v>85</v>
          </cell>
          <cell r="AY186">
            <v>85.51</v>
          </cell>
          <cell r="AZ186">
            <v>86.03</v>
          </cell>
          <cell r="BA186">
            <v>87.1</v>
          </cell>
          <cell r="BB186">
            <v>87.1</v>
          </cell>
          <cell r="BC186">
            <v>85</v>
          </cell>
          <cell r="BD186">
            <v>0</v>
          </cell>
          <cell r="BE186">
            <v>110.83</v>
          </cell>
          <cell r="BF186">
            <v>117.51</v>
          </cell>
          <cell r="BG186">
            <v>118.21</v>
          </cell>
          <cell r="BH186">
            <v>118.94</v>
          </cell>
          <cell r="BI186">
            <v>120.41</v>
          </cell>
          <cell r="BJ186">
            <v>121.9</v>
          </cell>
          <cell r="BK186">
            <v>117.51</v>
          </cell>
        </row>
        <row r="187">
          <cell r="A187"/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</row>
        <row r="188">
          <cell r="A188"/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</row>
        <row r="189">
          <cell r="A189">
            <v>7891721040122</v>
          </cell>
          <cell r="B189">
            <v>1008901940233</v>
          </cell>
          <cell r="C189">
            <v>525403004117411</v>
          </cell>
          <cell r="D189" t="str">
            <v>CONCOR</v>
          </cell>
          <cell r="E189" t="str">
            <v>5 MG COM REV EST CART BL AL PLAS INC X 14</v>
          </cell>
          <cell r="F189" t="str">
            <v>Comprimido revestido</v>
          </cell>
          <cell r="G189"/>
          <cell r="H189"/>
          <cell r="I189">
            <v>14</v>
          </cell>
          <cell r="J189"/>
          <cell r="K189" t="str">
            <v>Conformidade</v>
          </cell>
          <cell r="L189">
            <v>2</v>
          </cell>
          <cell r="M189" t="str">
            <v>Tarja Vermelha</v>
          </cell>
          <cell r="N189" t="str">
            <v>Não</v>
          </cell>
          <cell r="O189" t="str">
            <v>Não</v>
          </cell>
          <cell r="P189" t="str">
            <v>Não</v>
          </cell>
          <cell r="Q189" t="str">
            <v>I</v>
          </cell>
          <cell r="R189"/>
          <cell r="S189" t="str">
            <v>Genérico</v>
          </cell>
          <cell r="T189" t="str">
            <v>Monitorado</v>
          </cell>
          <cell r="U189"/>
          <cell r="V189" t="str">
            <v>66722-44-9</v>
          </cell>
          <cell r="W189"/>
          <cell r="X189"/>
          <cell r="Y189" t="str">
            <v>MG</v>
          </cell>
          <cell r="Z189">
            <v>1299</v>
          </cell>
          <cell r="AA189" t="str">
            <v>191 - BETABLOQUEADORES PUROS</v>
          </cell>
          <cell r="AB189" t="str">
            <v>N</v>
          </cell>
          <cell r="AC189" t="str">
            <v>N</v>
          </cell>
          <cell r="AD189">
            <v>0</v>
          </cell>
          <cell r="AE189" t="str">
            <v>N</v>
          </cell>
          <cell r="AF189">
            <v>0</v>
          </cell>
          <cell r="AG189">
            <v>36.29</v>
          </cell>
          <cell r="AH189">
            <v>38.479999999999997</v>
          </cell>
          <cell r="AI189">
            <v>0</v>
          </cell>
          <cell r="AJ189">
            <v>38.950000000000003</v>
          </cell>
          <cell r="AK189">
            <v>39.43</v>
          </cell>
          <cell r="AL189">
            <v>0</v>
          </cell>
          <cell r="AM189">
            <v>38.479999999999997</v>
          </cell>
          <cell r="AN189">
            <v>0</v>
          </cell>
          <cell r="AO189">
            <v>50.17</v>
          </cell>
          <cell r="AP189">
            <v>53.2</v>
          </cell>
          <cell r="AQ189">
            <v>0</v>
          </cell>
          <cell r="AR189">
            <v>53.84</v>
          </cell>
          <cell r="AS189">
            <v>54.51</v>
          </cell>
          <cell r="AT189">
            <v>0</v>
          </cell>
          <cell r="AU189">
            <v>53.2</v>
          </cell>
          <cell r="AV189">
            <v>0</v>
          </cell>
          <cell r="AW189">
            <v>37.4</v>
          </cell>
          <cell r="AX189">
            <v>39.659999999999997</v>
          </cell>
          <cell r="AY189">
            <v>39.9</v>
          </cell>
          <cell r="AZ189">
            <v>40.14</v>
          </cell>
          <cell r="BA189">
            <v>40.64</v>
          </cell>
          <cell r="BB189">
            <v>40.64</v>
          </cell>
          <cell r="BC189">
            <v>39.659999999999997</v>
          </cell>
          <cell r="BD189">
            <v>0</v>
          </cell>
          <cell r="BE189">
            <v>51.7</v>
          </cell>
          <cell r="BF189">
            <v>54.83</v>
          </cell>
          <cell r="BG189">
            <v>55.16</v>
          </cell>
          <cell r="BH189">
            <v>55.49</v>
          </cell>
          <cell r="BI189">
            <v>56.18</v>
          </cell>
          <cell r="BJ189">
            <v>56.87</v>
          </cell>
          <cell r="BK189">
            <v>54.83</v>
          </cell>
        </row>
        <row r="190">
          <cell r="A190">
            <v>7891721070785</v>
          </cell>
          <cell r="B190">
            <v>1008901940241</v>
          </cell>
          <cell r="C190">
            <v>525403008112414</v>
          </cell>
          <cell r="D190" t="str">
            <v>CONCOR</v>
          </cell>
          <cell r="E190" t="str">
            <v>5 MG COM REV EST CART 2 BL AL PLAS INC X 14</v>
          </cell>
          <cell r="F190" t="str">
            <v>Comprimido revestido</v>
          </cell>
          <cell r="G190"/>
          <cell r="H190"/>
          <cell r="I190">
            <v>28</v>
          </cell>
          <cell r="J190"/>
          <cell r="K190" t="str">
            <v>Conformidade</v>
          </cell>
          <cell r="L190">
            <v>2</v>
          </cell>
          <cell r="M190" t="str">
            <v>Tarja Vermelha</v>
          </cell>
          <cell r="N190" t="str">
            <v>Não</v>
          </cell>
          <cell r="O190" t="str">
            <v>Não</v>
          </cell>
          <cell r="P190" t="str">
            <v>Não</v>
          </cell>
          <cell r="Q190" t="str">
            <v>I</v>
          </cell>
          <cell r="R190"/>
          <cell r="S190" t="str">
            <v>Genérico</v>
          </cell>
          <cell r="T190" t="str">
            <v>Monitorado</v>
          </cell>
          <cell r="U190"/>
          <cell r="V190" t="str">
            <v>66722-44-9</v>
          </cell>
          <cell r="W190"/>
          <cell r="X190"/>
          <cell r="Y190" t="str">
            <v>MG</v>
          </cell>
          <cell r="Z190">
            <v>1299</v>
          </cell>
          <cell r="AA190" t="str">
            <v>191 - BETABLOQUEADORES PUROS</v>
          </cell>
          <cell r="AB190" t="str">
            <v>N</v>
          </cell>
          <cell r="AC190" t="str">
            <v>N</v>
          </cell>
          <cell r="AD190">
            <v>0</v>
          </cell>
          <cell r="AE190" t="str">
            <v>N</v>
          </cell>
          <cell r="AF190">
            <v>0</v>
          </cell>
          <cell r="AG190">
            <v>72.61</v>
          </cell>
          <cell r="AH190">
            <v>76.98</v>
          </cell>
          <cell r="AI190">
            <v>0</v>
          </cell>
          <cell r="AJ190">
            <v>77.92</v>
          </cell>
          <cell r="AK190">
            <v>78.88</v>
          </cell>
          <cell r="AL190">
            <v>0</v>
          </cell>
          <cell r="AM190">
            <v>76.98</v>
          </cell>
          <cell r="AN190">
            <v>0</v>
          </cell>
          <cell r="AO190">
            <v>100.38</v>
          </cell>
          <cell r="AP190">
            <v>106.42</v>
          </cell>
          <cell r="AQ190">
            <v>0</v>
          </cell>
          <cell r="AR190">
            <v>107.72</v>
          </cell>
          <cell r="AS190">
            <v>109.05</v>
          </cell>
          <cell r="AT190">
            <v>0</v>
          </cell>
          <cell r="AU190">
            <v>106.42</v>
          </cell>
          <cell r="AV190">
            <v>0</v>
          </cell>
          <cell r="AW190">
            <v>74.83</v>
          </cell>
          <cell r="AX190">
            <v>79.34</v>
          </cell>
          <cell r="AY190">
            <v>79.819999999999993</v>
          </cell>
          <cell r="AZ190">
            <v>80.3</v>
          </cell>
          <cell r="BA190">
            <v>81.3</v>
          </cell>
          <cell r="BB190">
            <v>81.3</v>
          </cell>
          <cell r="BC190">
            <v>79.34</v>
          </cell>
          <cell r="BD190">
            <v>0</v>
          </cell>
          <cell r="BE190">
            <v>103.45</v>
          </cell>
          <cell r="BF190">
            <v>109.68</v>
          </cell>
          <cell r="BG190">
            <v>110.35</v>
          </cell>
          <cell r="BH190">
            <v>111.02</v>
          </cell>
          <cell r="BI190">
            <v>112.39</v>
          </cell>
          <cell r="BJ190">
            <v>113.79</v>
          </cell>
          <cell r="BK190">
            <v>109.68</v>
          </cell>
        </row>
        <row r="191">
          <cell r="A191"/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</row>
        <row r="192">
          <cell r="A192"/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</row>
        <row r="193">
          <cell r="A193">
            <v>7891721026676</v>
          </cell>
          <cell r="B193">
            <v>1008903720028</v>
          </cell>
          <cell r="C193">
            <v>525412010042803</v>
          </cell>
          <cell r="D193" t="str">
            <v>CONCOR HCT</v>
          </cell>
          <cell r="E193" t="str">
            <v>10 MG + 25 MG COM REV CT BL AL X 30 </v>
          </cell>
          <cell r="F193" t="str">
            <v>Comprimido revestido</v>
          </cell>
          <cell r="G193"/>
          <cell r="H193"/>
          <cell r="I193">
            <v>30</v>
          </cell>
          <cell r="J193"/>
          <cell r="K193" t="str">
            <v>Conformidade</v>
          </cell>
          <cell r="L193">
            <v>3</v>
          </cell>
          <cell r="M193" t="str">
            <v>Tarja Vermelha</v>
          </cell>
          <cell r="N193" t="str">
            <v>Não</v>
          </cell>
          <cell r="O193" t="str">
            <v>Não</v>
          </cell>
          <cell r="P193" t="str">
            <v>Não</v>
          </cell>
          <cell r="Q193" t="str">
            <v>II</v>
          </cell>
          <cell r="R193"/>
          <cell r="S193" t="str">
            <v>Genérico</v>
          </cell>
          <cell r="T193" t="str">
            <v>Monitorado</v>
          </cell>
          <cell r="U193"/>
          <cell r="V193" t="str">
            <v>104344-23-2</v>
          </cell>
          <cell r="W193"/>
          <cell r="X193"/>
          <cell r="Y193" t="str">
            <v>MG</v>
          </cell>
          <cell r="Z193">
            <v>1300</v>
          </cell>
          <cell r="AA193" t="str">
            <v>192 - BETABLOQUEADORES ASSOCIADOS COM ANTIHIPERTENSIVOS E/OU DIURÉTICOS</v>
          </cell>
          <cell r="AB193" t="str">
            <v>N</v>
          </cell>
          <cell r="AC193" t="str">
            <v>N</v>
          </cell>
          <cell r="AD193"/>
          <cell r="AE193" t="str">
            <v>N</v>
          </cell>
          <cell r="AF193">
            <v>0</v>
          </cell>
          <cell r="AG193">
            <v>66.58</v>
          </cell>
          <cell r="AH193">
            <v>70.59</v>
          </cell>
          <cell r="AI193">
            <v>0</v>
          </cell>
          <cell r="AJ193">
            <v>71.45</v>
          </cell>
          <cell r="AK193">
            <v>72.33</v>
          </cell>
          <cell r="AL193">
            <v>0</v>
          </cell>
          <cell r="AM193">
            <v>70.59</v>
          </cell>
          <cell r="AN193">
            <v>0</v>
          </cell>
          <cell r="AO193">
            <v>92.04</v>
          </cell>
          <cell r="AP193">
            <v>97.59</v>
          </cell>
          <cell r="AQ193">
            <v>0</v>
          </cell>
          <cell r="AR193">
            <v>98.77</v>
          </cell>
          <cell r="AS193">
            <v>99.99</v>
          </cell>
          <cell r="AT193">
            <v>0</v>
          </cell>
          <cell r="AU193">
            <v>97.59</v>
          </cell>
          <cell r="AV193">
            <v>0</v>
          </cell>
          <cell r="AW193">
            <v>67.48</v>
          </cell>
          <cell r="AX193">
            <v>71.55</v>
          </cell>
          <cell r="AY193">
            <v>71.98</v>
          </cell>
          <cell r="AZ193">
            <v>72.42</v>
          </cell>
          <cell r="BA193">
            <v>73.319999999999993</v>
          </cell>
          <cell r="BB193">
            <v>73.319999999999993</v>
          </cell>
          <cell r="BC193">
            <v>71.55</v>
          </cell>
          <cell r="BD193">
            <v>0</v>
          </cell>
          <cell r="BE193">
            <v>93.29</v>
          </cell>
          <cell r="BF193">
            <v>98.91</v>
          </cell>
          <cell r="BG193">
            <v>99.51</v>
          </cell>
          <cell r="BH193">
            <v>100.12</v>
          </cell>
          <cell r="BI193">
            <v>101.36</v>
          </cell>
          <cell r="BJ193">
            <v>102.62</v>
          </cell>
          <cell r="BK193">
            <v>98.91</v>
          </cell>
        </row>
        <row r="194">
          <cell r="A194"/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</row>
        <row r="195">
          <cell r="A195">
            <v>7891721026706</v>
          </cell>
          <cell r="B195">
            <v>1008903720011</v>
          </cell>
          <cell r="C195">
            <v>525412010042703</v>
          </cell>
          <cell r="D195" t="str">
            <v>CONCOR HCT</v>
          </cell>
          <cell r="E195" t="str">
            <v>5 MG + 12,5 MG COM REV CT BL AL X 30 </v>
          </cell>
          <cell r="F195" t="str">
            <v>Comprimido revestido</v>
          </cell>
          <cell r="G195"/>
          <cell r="H195"/>
          <cell r="I195">
            <v>30</v>
          </cell>
          <cell r="J195"/>
          <cell r="K195" t="str">
            <v>Conformidade</v>
          </cell>
          <cell r="L195">
            <v>3</v>
          </cell>
          <cell r="M195" t="str">
            <v>Tarja Vermelha</v>
          </cell>
          <cell r="N195" t="str">
            <v>Não</v>
          </cell>
          <cell r="O195" t="str">
            <v>Não</v>
          </cell>
          <cell r="P195" t="str">
            <v>Não</v>
          </cell>
          <cell r="Q195" t="str">
            <v>II</v>
          </cell>
          <cell r="R195"/>
          <cell r="S195" t="str">
            <v>Genérico</v>
          </cell>
          <cell r="T195" t="str">
            <v>Monitorado</v>
          </cell>
          <cell r="U195"/>
          <cell r="V195" t="str">
            <v>104344-23-2</v>
          </cell>
          <cell r="W195"/>
          <cell r="X195"/>
          <cell r="Y195" t="str">
            <v>MG</v>
          </cell>
          <cell r="Z195">
            <v>1300</v>
          </cell>
          <cell r="AA195" t="str">
            <v>192 - BETABLOQUEADORES ASSOCIADOS COM ANTIHIPERTENSIVOS E/OU DIURÉTICOS</v>
          </cell>
          <cell r="AB195" t="str">
            <v>N</v>
          </cell>
          <cell r="AC195" t="str">
            <v>N</v>
          </cell>
          <cell r="AD195"/>
          <cell r="AE195" t="str">
            <v>N</v>
          </cell>
          <cell r="AF195">
            <v>0</v>
          </cell>
          <cell r="AG195">
            <v>65.7</v>
          </cell>
          <cell r="AH195">
            <v>69.650000000000006</v>
          </cell>
          <cell r="AI195">
            <v>0</v>
          </cell>
          <cell r="AJ195">
            <v>70.5</v>
          </cell>
          <cell r="AK195">
            <v>71.37</v>
          </cell>
          <cell r="AL195">
            <v>0</v>
          </cell>
          <cell r="AM195">
            <v>69.650000000000006</v>
          </cell>
          <cell r="AN195">
            <v>0</v>
          </cell>
          <cell r="AO195">
            <v>90.83</v>
          </cell>
          <cell r="AP195">
            <v>96.29</v>
          </cell>
          <cell r="AQ195">
            <v>0</v>
          </cell>
          <cell r="AR195">
            <v>97.47</v>
          </cell>
          <cell r="AS195">
            <v>98.66</v>
          </cell>
          <cell r="AT195">
            <v>0</v>
          </cell>
          <cell r="AU195">
            <v>96.29</v>
          </cell>
          <cell r="AV195">
            <v>0</v>
          </cell>
          <cell r="AW195">
            <v>66.59</v>
          </cell>
          <cell r="AX195">
            <v>70.599999999999994</v>
          </cell>
          <cell r="AY195">
            <v>71.02</v>
          </cell>
          <cell r="AZ195">
            <v>71.459999999999994</v>
          </cell>
          <cell r="BA195">
            <v>72.34</v>
          </cell>
          <cell r="BB195">
            <v>72.34</v>
          </cell>
          <cell r="BC195">
            <v>70.599999999999994</v>
          </cell>
          <cell r="BD195">
            <v>0</v>
          </cell>
          <cell r="BE195">
            <v>92.06</v>
          </cell>
          <cell r="BF195">
            <v>97.6</v>
          </cell>
          <cell r="BG195">
            <v>98.18</v>
          </cell>
          <cell r="BH195">
            <v>98.79</v>
          </cell>
          <cell r="BI195">
            <v>100.01</v>
          </cell>
          <cell r="BJ195">
            <v>101.25</v>
          </cell>
          <cell r="BK195">
            <v>97.6</v>
          </cell>
        </row>
        <row r="196">
          <cell r="A196"/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</row>
        <row r="197">
          <cell r="A197"/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</row>
        <row r="198">
          <cell r="A198">
            <v>7898106035650</v>
          </cell>
          <cell r="B198">
            <v>1008903650011</v>
          </cell>
          <cell r="C198">
            <v>525421601164310</v>
          </cell>
          <cell r="D198" t="str">
            <v>CRINONE</v>
          </cell>
          <cell r="E198" t="str">
            <v>80 MG/G GEL VAG CT 15 ENV AL POLIET X 1 APLIC X 1,125 G</v>
          </cell>
          <cell r="F198" t="str">
            <v>GEL VAGINAL</v>
          </cell>
          <cell r="G198">
            <v>15</v>
          </cell>
          <cell r="H198" t="str">
            <v>ENVELOPE</v>
          </cell>
          <cell r="I198">
            <v>15</v>
          </cell>
          <cell r="J198" t="str">
            <v>G</v>
          </cell>
          <cell r="K198" t="str">
            <v>Conformidade</v>
          </cell>
          <cell r="L198">
            <v>3</v>
          </cell>
          <cell r="M198" t="str">
            <v>Tarja Vermelha</v>
          </cell>
          <cell r="N198" t="str">
            <v>Não</v>
          </cell>
          <cell r="O198" t="str">
            <v>Não</v>
          </cell>
          <cell r="P198" t="str">
            <v>Não</v>
          </cell>
          <cell r="Q198" t="str">
            <v>I</v>
          </cell>
          <cell r="R198"/>
          <cell r="S198" t="str">
            <v>Genérico</v>
          </cell>
          <cell r="T198" t="str">
            <v>Monitorado</v>
          </cell>
          <cell r="U198"/>
          <cell r="V198" t="str">
            <v>57-83-0</v>
          </cell>
          <cell r="W198"/>
          <cell r="X198"/>
          <cell r="Y198" t="str">
            <v>MG/G</v>
          </cell>
          <cell r="Z198">
            <v>7413</v>
          </cell>
          <cell r="AA198" t="str">
            <v>267 - PROGESTÓGENOS EXCLUINDO G3A, G3F</v>
          </cell>
          <cell r="AB198" t="str">
            <v>N</v>
          </cell>
          <cell r="AC198" t="str">
            <v>N</v>
          </cell>
          <cell r="AD198">
            <v>0</v>
          </cell>
          <cell r="AE198" t="str">
            <v>N</v>
          </cell>
          <cell r="AF198">
            <v>0</v>
          </cell>
          <cell r="AG198">
            <v>388.5</v>
          </cell>
          <cell r="AH198">
            <v>411.9</v>
          </cell>
          <cell r="AI198">
            <v>0</v>
          </cell>
          <cell r="AJ198">
            <v>416.93</v>
          </cell>
          <cell r="AK198">
            <v>422.07</v>
          </cell>
          <cell r="AL198">
            <v>0</v>
          </cell>
          <cell r="AM198">
            <v>411.9</v>
          </cell>
          <cell r="AN198">
            <v>0</v>
          </cell>
          <cell r="AO198">
            <v>537.08000000000004</v>
          </cell>
          <cell r="AP198">
            <v>569.42999999999995</v>
          </cell>
          <cell r="AQ198">
            <v>0</v>
          </cell>
          <cell r="AR198">
            <v>576.37</v>
          </cell>
          <cell r="AS198">
            <v>583.49</v>
          </cell>
          <cell r="AT198">
            <v>0</v>
          </cell>
          <cell r="AU198">
            <v>569.42999999999995</v>
          </cell>
          <cell r="AV198">
            <v>0</v>
          </cell>
          <cell r="AW198">
            <v>393.79</v>
          </cell>
          <cell r="AX198">
            <v>417.51</v>
          </cell>
          <cell r="AY198">
            <v>420.04</v>
          </cell>
          <cell r="AZ198">
            <v>422.6</v>
          </cell>
          <cell r="BA198">
            <v>427.82</v>
          </cell>
          <cell r="BB198">
            <v>427.82</v>
          </cell>
          <cell r="BC198">
            <v>417.51</v>
          </cell>
          <cell r="BD198">
            <v>0</v>
          </cell>
          <cell r="BE198">
            <v>544.39</v>
          </cell>
          <cell r="BF198">
            <v>577.17999999999995</v>
          </cell>
          <cell r="BG198">
            <v>580.67999999999995</v>
          </cell>
          <cell r="BH198">
            <v>584.22</v>
          </cell>
          <cell r="BI198">
            <v>591.44000000000005</v>
          </cell>
          <cell r="BJ198">
            <v>598.83000000000004</v>
          </cell>
          <cell r="BK198">
            <v>577.17999999999995</v>
          </cell>
        </row>
        <row r="199">
          <cell r="A199"/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</row>
        <row r="200">
          <cell r="A200"/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</row>
        <row r="201">
          <cell r="A201"/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</row>
        <row r="202">
          <cell r="A202">
            <v>7898106035643</v>
          </cell>
          <cell r="B202">
            <v>1008903650021</v>
          </cell>
          <cell r="C202">
            <v>525421602160319</v>
          </cell>
          <cell r="D202" t="str">
            <v>CRINONE</v>
          </cell>
          <cell r="E202" t="str">
            <v>80 MG/G GEL VAG CT 7 ENV AL POLIET X 1 APLIC X 1,125 G</v>
          </cell>
          <cell r="F202" t="str">
            <v>GEL VAGINAL</v>
          </cell>
          <cell r="G202">
            <v>7</v>
          </cell>
          <cell r="H202" t="str">
            <v>ENVELOPE</v>
          </cell>
          <cell r="I202">
            <v>7</v>
          </cell>
          <cell r="J202" t="str">
            <v>G</v>
          </cell>
          <cell r="K202" t="str">
            <v>Conformidade</v>
          </cell>
          <cell r="L202">
            <v>3</v>
          </cell>
          <cell r="M202" t="str">
            <v>Tarja Vermelha</v>
          </cell>
          <cell r="N202" t="str">
            <v>Não</v>
          </cell>
          <cell r="O202" t="str">
            <v>Não</v>
          </cell>
          <cell r="P202" t="str">
            <v>Não</v>
          </cell>
          <cell r="Q202" t="str">
            <v>I</v>
          </cell>
          <cell r="R202"/>
          <cell r="S202" t="str">
            <v>Genérico</v>
          </cell>
          <cell r="T202" t="str">
            <v>Monitorado</v>
          </cell>
          <cell r="U202"/>
          <cell r="V202" t="str">
            <v>57-83-0</v>
          </cell>
          <cell r="W202"/>
          <cell r="X202"/>
          <cell r="Y202" t="str">
            <v>MG/G</v>
          </cell>
          <cell r="Z202">
            <v>7413</v>
          </cell>
          <cell r="AA202" t="str">
            <v>267 - PROGESTÓGENOS EXCLUINDO G3A, G3F</v>
          </cell>
          <cell r="AB202" t="str">
            <v>N</v>
          </cell>
          <cell r="AC202" t="str">
            <v>N</v>
          </cell>
          <cell r="AD202">
            <v>0</v>
          </cell>
          <cell r="AE202" t="str">
            <v>N</v>
          </cell>
          <cell r="AF202">
            <v>0</v>
          </cell>
          <cell r="AG202">
            <v>214.16</v>
          </cell>
          <cell r="AH202">
            <v>227.06</v>
          </cell>
          <cell r="AI202">
            <v>0</v>
          </cell>
          <cell r="AJ202">
            <v>229.83</v>
          </cell>
          <cell r="AK202">
            <v>232.66</v>
          </cell>
          <cell r="AL202">
            <v>0</v>
          </cell>
          <cell r="AM202">
            <v>227.06</v>
          </cell>
          <cell r="AN202">
            <v>0</v>
          </cell>
          <cell r="AO202">
            <v>296.06</v>
          </cell>
          <cell r="AP202">
            <v>313.89999999999998</v>
          </cell>
          <cell r="AQ202">
            <v>0</v>
          </cell>
          <cell r="AR202">
            <v>317.72000000000003</v>
          </cell>
          <cell r="AS202">
            <v>321.64</v>
          </cell>
          <cell r="AT202">
            <v>0</v>
          </cell>
          <cell r="AU202">
            <v>313.89999999999998</v>
          </cell>
          <cell r="AV202">
            <v>0</v>
          </cell>
          <cell r="AW202">
            <v>217.07</v>
          </cell>
          <cell r="AX202">
            <v>230.15</v>
          </cell>
          <cell r="AY202">
            <v>231.54</v>
          </cell>
          <cell r="AZ202">
            <v>232.96</v>
          </cell>
          <cell r="BA202">
            <v>235.83</v>
          </cell>
          <cell r="BB202">
            <v>235.83</v>
          </cell>
          <cell r="BC202">
            <v>230.15</v>
          </cell>
          <cell r="BD202">
            <v>0</v>
          </cell>
          <cell r="BE202">
            <v>300.08999999999997</v>
          </cell>
          <cell r="BF202">
            <v>318.17</v>
          </cell>
          <cell r="BG202">
            <v>320.08999999999997</v>
          </cell>
          <cell r="BH202">
            <v>322.05</v>
          </cell>
          <cell r="BI202">
            <v>326.02</v>
          </cell>
          <cell r="BJ202">
            <v>330.1</v>
          </cell>
          <cell r="BK202">
            <v>318.17</v>
          </cell>
        </row>
        <row r="203">
          <cell r="A203"/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</row>
        <row r="204">
          <cell r="A204">
            <v>7891721000164</v>
          </cell>
          <cell r="B204">
            <v>1008900170035</v>
          </cell>
          <cell r="C204">
            <v>525403201151418</v>
          </cell>
          <cell r="D204" t="str">
            <v>DEXA CITONEURIN</v>
          </cell>
          <cell r="E204" t="str">
            <v>SOL INJ EST 3 AMP VD INC X 2 ML + 3 AMP VD INC X 1 ML</v>
          </cell>
          <cell r="F204" t="str">
            <v>Solução injetável</v>
          </cell>
          <cell r="G204"/>
          <cell r="H204"/>
          <cell r="I204"/>
          <cell r="J204" t="str">
            <v>ML</v>
          </cell>
          <cell r="K204" t="str">
            <v>Conformidade</v>
          </cell>
          <cell r="L204">
            <v>2</v>
          </cell>
          <cell r="M204" t="str">
            <v>Tarja Vermelha</v>
          </cell>
          <cell r="N204" t="str">
            <v>Não</v>
          </cell>
          <cell r="O204" t="str">
            <v>Não</v>
          </cell>
          <cell r="P204" t="str">
            <v>Não</v>
          </cell>
          <cell r="Q204" t="str">
            <v>II</v>
          </cell>
          <cell r="R204"/>
          <cell r="S204" t="str">
            <v>Genérico</v>
          </cell>
          <cell r="T204" t="str">
            <v>Monitorado</v>
          </cell>
          <cell r="U204"/>
          <cell r="V204" t="str">
            <v>68-19-9,1177-87-3,58-56-0,67-03-8</v>
          </cell>
          <cell r="W204"/>
          <cell r="X204"/>
          <cell r="Y204" t="str">
            <v>MG/ML</v>
          </cell>
          <cell r="Z204" t="str">
            <v>01984,02819,07167,08511</v>
          </cell>
          <cell r="AA204" t="str">
            <v>296 - ASSOCIAÇÕES DE CORTICOSTERÓIDES SISTÊMICOS</v>
          </cell>
          <cell r="AB204" t="str">
            <v>N</v>
          </cell>
          <cell r="AC204" t="str">
            <v>N</v>
          </cell>
          <cell r="AD204">
            <v>0</v>
          </cell>
          <cell r="AE204" t="str">
            <v>N</v>
          </cell>
          <cell r="AF204">
            <v>0</v>
          </cell>
          <cell r="AG204">
            <v>21.62</v>
          </cell>
          <cell r="AH204">
            <v>22.92</v>
          </cell>
          <cell r="AI204">
            <v>0</v>
          </cell>
          <cell r="AJ204">
            <v>23.2</v>
          </cell>
          <cell r="AK204">
            <v>23.48</v>
          </cell>
          <cell r="AL204">
            <v>0</v>
          </cell>
          <cell r="AM204">
            <v>22.92</v>
          </cell>
          <cell r="AN204">
            <v>0</v>
          </cell>
          <cell r="AO204">
            <v>29.89</v>
          </cell>
          <cell r="AP204">
            <v>31.69</v>
          </cell>
          <cell r="AQ204">
            <v>0</v>
          </cell>
          <cell r="AR204">
            <v>32.07</v>
          </cell>
          <cell r="AS204">
            <v>32.46</v>
          </cell>
          <cell r="AT204">
            <v>0</v>
          </cell>
          <cell r="AU204">
            <v>31.69</v>
          </cell>
          <cell r="AV204">
            <v>0</v>
          </cell>
          <cell r="AW204">
            <v>21.62</v>
          </cell>
          <cell r="AX204">
            <v>22.92</v>
          </cell>
          <cell r="AY204">
            <v>23.06</v>
          </cell>
          <cell r="AZ204">
            <v>23.2</v>
          </cell>
          <cell r="BA204">
            <v>23.49</v>
          </cell>
          <cell r="BB204">
            <v>23.49</v>
          </cell>
          <cell r="BC204">
            <v>22.92</v>
          </cell>
          <cell r="BD204">
            <v>0</v>
          </cell>
          <cell r="BE204">
            <v>29.89</v>
          </cell>
          <cell r="BF204">
            <v>31.69</v>
          </cell>
          <cell r="BG204">
            <v>31.88</v>
          </cell>
          <cell r="BH204">
            <v>32.07</v>
          </cell>
          <cell r="BI204">
            <v>32.47</v>
          </cell>
          <cell r="BJ204">
            <v>32.869999999999997</v>
          </cell>
          <cell r="BK204">
            <v>31.69</v>
          </cell>
        </row>
        <row r="205">
          <cell r="A205">
            <v>7891721024474</v>
          </cell>
          <cell r="B205">
            <v>1008903780012</v>
          </cell>
          <cell r="C205">
            <v>525414030045004</v>
          </cell>
          <cell r="D205" t="str">
            <v>DEXA-CITONEURIN NFF</v>
          </cell>
          <cell r="E205" t="str">
            <v>(100 MG + 100 MG) + (5 MG + 4,37 MG) SOL INJ IM CT 1 AMP VD AMB X 1 ML + 1 AMP VD AMB X 2 ML </v>
          </cell>
          <cell r="F205" t="str">
            <v>Solução injetável</v>
          </cell>
          <cell r="G205"/>
          <cell r="H205"/>
          <cell r="I205"/>
          <cell r="J205" t="str">
            <v>ML</v>
          </cell>
          <cell r="K205" t="str">
            <v>Conformidade</v>
          </cell>
          <cell r="L205">
            <v>2</v>
          </cell>
          <cell r="M205" t="str">
            <v>Tarja Vermelha</v>
          </cell>
          <cell r="N205" t="str">
            <v>Não</v>
          </cell>
          <cell r="O205" t="str">
            <v>Não</v>
          </cell>
          <cell r="P205" t="str">
            <v>Não</v>
          </cell>
          <cell r="Q205" t="str">
            <v>N</v>
          </cell>
          <cell r="R205"/>
          <cell r="S205" t="str">
            <v>Genérico</v>
          </cell>
          <cell r="T205" t="str">
            <v>Monitorado</v>
          </cell>
          <cell r="U205"/>
          <cell r="V205" t="str">
            <v>2392-39-4</v>
          </cell>
          <cell r="W205"/>
          <cell r="X205"/>
          <cell r="Y205" t="str">
            <v>MG</v>
          </cell>
          <cell r="Z205">
            <v>2821</v>
          </cell>
          <cell r="AA205" t="str">
            <v>296 - ASSOCIAÇÕES DE CORTICOSTERÓIDES SISTÊMICOS</v>
          </cell>
          <cell r="AB205" t="str">
            <v>N</v>
          </cell>
          <cell r="AC205" t="str">
            <v>N</v>
          </cell>
          <cell r="AD205"/>
          <cell r="AE205" t="str">
            <v>N</v>
          </cell>
          <cell r="AF205">
            <v>0</v>
          </cell>
          <cell r="AG205">
            <v>8.16</v>
          </cell>
          <cell r="AH205">
            <v>8.73</v>
          </cell>
          <cell r="AI205">
            <v>0</v>
          </cell>
          <cell r="AJ205">
            <v>8.85</v>
          </cell>
          <cell r="AK205">
            <v>8.98</v>
          </cell>
          <cell r="AL205">
            <v>0</v>
          </cell>
          <cell r="AM205">
            <v>7.6</v>
          </cell>
          <cell r="AN205">
            <v>0</v>
          </cell>
          <cell r="AO205">
            <v>10.9</v>
          </cell>
          <cell r="AP205">
            <v>11.64</v>
          </cell>
          <cell r="AQ205">
            <v>0</v>
          </cell>
          <cell r="AR205">
            <v>11.8</v>
          </cell>
          <cell r="AS205">
            <v>11.96</v>
          </cell>
          <cell r="AT205">
            <v>0</v>
          </cell>
          <cell r="AU205">
            <v>10.51</v>
          </cell>
          <cell r="AV205">
            <v>0</v>
          </cell>
          <cell r="AW205">
            <v>8.41</v>
          </cell>
          <cell r="AX205">
            <v>8.99</v>
          </cell>
          <cell r="AY205">
            <v>9.06</v>
          </cell>
          <cell r="AZ205">
            <v>9.1199999999999992</v>
          </cell>
          <cell r="BA205">
            <v>9.25</v>
          </cell>
          <cell r="BB205">
            <v>9.25</v>
          </cell>
          <cell r="BC205">
            <v>7.83</v>
          </cell>
          <cell r="BD205">
            <v>0</v>
          </cell>
          <cell r="BE205">
            <v>11.23</v>
          </cell>
          <cell r="BF205">
            <v>11.98</v>
          </cell>
          <cell r="BG205">
            <v>12.07</v>
          </cell>
          <cell r="BH205">
            <v>12.15</v>
          </cell>
          <cell r="BI205">
            <v>12.32</v>
          </cell>
          <cell r="BJ205">
            <v>12.49</v>
          </cell>
          <cell r="BK205">
            <v>10.82</v>
          </cell>
        </row>
        <row r="206">
          <cell r="A206">
            <v>7891721024481</v>
          </cell>
          <cell r="B206">
            <v>1008903780020</v>
          </cell>
          <cell r="C206">
            <v>525414030045104</v>
          </cell>
          <cell r="D206" t="str">
            <v>DEXA-CITONEURIN NFF</v>
          </cell>
          <cell r="E206" t="str">
            <v>(100 MG + 100 MG) + (5 MG + 4,37 MG) SOL INJ IM CT 3 AMP VD AMB X 1 ML + 3 AMP VD AMB X 2 ML</v>
          </cell>
          <cell r="F206" t="str">
            <v>Solução injetável</v>
          </cell>
          <cell r="G206"/>
          <cell r="H206"/>
          <cell r="I206"/>
          <cell r="J206" t="str">
            <v>ML</v>
          </cell>
          <cell r="K206" t="str">
            <v>Conformidade</v>
          </cell>
          <cell r="L206">
            <v>2</v>
          </cell>
          <cell r="M206" t="str">
            <v>Tarja Vermelha</v>
          </cell>
          <cell r="N206" t="str">
            <v>Não</v>
          </cell>
          <cell r="O206" t="str">
            <v>Não</v>
          </cell>
          <cell r="P206" t="str">
            <v>Não</v>
          </cell>
          <cell r="Q206" t="str">
            <v>N</v>
          </cell>
          <cell r="R206"/>
          <cell r="S206" t="str">
            <v>Genérico</v>
          </cell>
          <cell r="T206" t="str">
            <v>Monitorado</v>
          </cell>
          <cell r="U206"/>
          <cell r="V206" t="str">
            <v>2392-39-4</v>
          </cell>
          <cell r="W206"/>
          <cell r="X206"/>
          <cell r="Y206" t="str">
            <v>MG</v>
          </cell>
          <cell r="Z206">
            <v>2821</v>
          </cell>
          <cell r="AA206" t="str">
            <v>296 - ASSOCIAÇÕES DE CORTICOSTERÓIDES SISTÊMICOS</v>
          </cell>
          <cell r="AB206" t="str">
            <v>N</v>
          </cell>
          <cell r="AC206" t="str">
            <v>N</v>
          </cell>
          <cell r="AD206"/>
          <cell r="AE206" t="str">
            <v>N</v>
          </cell>
          <cell r="AF206">
            <v>0</v>
          </cell>
          <cell r="AG206">
            <v>24.5</v>
          </cell>
          <cell r="AH206">
            <v>26.2</v>
          </cell>
          <cell r="AI206">
            <v>0</v>
          </cell>
          <cell r="AJ206">
            <v>26.57</v>
          </cell>
          <cell r="AK206">
            <v>26.95</v>
          </cell>
          <cell r="AL206">
            <v>0</v>
          </cell>
          <cell r="AM206">
            <v>22.81</v>
          </cell>
          <cell r="AN206">
            <v>0</v>
          </cell>
          <cell r="AO206">
            <v>32.729999999999997</v>
          </cell>
          <cell r="AP206">
            <v>34.92</v>
          </cell>
          <cell r="AQ206">
            <v>0</v>
          </cell>
          <cell r="AR206">
            <v>35.4</v>
          </cell>
          <cell r="AS206">
            <v>35.89</v>
          </cell>
          <cell r="AT206">
            <v>0</v>
          </cell>
          <cell r="AU206">
            <v>31.53</v>
          </cell>
          <cell r="AV206">
            <v>0</v>
          </cell>
          <cell r="AW206">
            <v>25.25</v>
          </cell>
          <cell r="AX206">
            <v>27</v>
          </cell>
          <cell r="AY206">
            <v>27.19</v>
          </cell>
          <cell r="AZ206">
            <v>27.38</v>
          </cell>
          <cell r="BA206">
            <v>27.77</v>
          </cell>
          <cell r="BB206">
            <v>27.77</v>
          </cell>
          <cell r="BC206">
            <v>23.51</v>
          </cell>
          <cell r="BD206">
            <v>0</v>
          </cell>
          <cell r="BE206">
            <v>33.729999999999997</v>
          </cell>
          <cell r="BF206">
            <v>35.99</v>
          </cell>
          <cell r="BG206">
            <v>36.229999999999997</v>
          </cell>
          <cell r="BH206">
            <v>36.479999999999997</v>
          </cell>
          <cell r="BI206">
            <v>36.979999999999997</v>
          </cell>
          <cell r="BJ206">
            <v>37.5</v>
          </cell>
          <cell r="BK206">
            <v>32.5</v>
          </cell>
        </row>
        <row r="207">
          <cell r="A207"/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</row>
        <row r="208">
          <cell r="A208"/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</row>
        <row r="209">
          <cell r="A209">
            <v>7891721010026</v>
          </cell>
          <cell r="B209">
            <v>1008902470028</v>
          </cell>
          <cell r="C209">
            <v>525403301111418</v>
          </cell>
          <cell r="D209" t="str">
            <v>DICLIN</v>
          </cell>
          <cell r="E209" t="str">
            <v>2 MG + 0,035 MG COM REV CT CART EST CAL AL PVC X 21</v>
          </cell>
          <cell r="F209" t="str">
            <v>Comprimido revestido</v>
          </cell>
          <cell r="G209"/>
          <cell r="H209"/>
          <cell r="I209">
            <v>21</v>
          </cell>
          <cell r="J209"/>
          <cell r="K209" t="str">
            <v>Conformidade</v>
          </cell>
          <cell r="L209">
            <v>2</v>
          </cell>
          <cell r="M209" t="str">
            <v>Tarja Vermelha</v>
          </cell>
          <cell r="N209" t="str">
            <v>Não</v>
          </cell>
          <cell r="O209" t="str">
            <v>Não</v>
          </cell>
          <cell r="P209" t="str">
            <v>Não</v>
          </cell>
          <cell r="Q209" t="str">
            <v>II</v>
          </cell>
          <cell r="R209"/>
          <cell r="S209" t="str">
            <v>Similar</v>
          </cell>
          <cell r="T209" t="str">
            <v>Monitorado</v>
          </cell>
          <cell r="U209"/>
          <cell r="V209" t="str">
            <v>57-63-6,427-51-0</v>
          </cell>
          <cell r="W209"/>
          <cell r="X209"/>
          <cell r="Y209" t="str">
            <v>MG</v>
          </cell>
          <cell r="Z209">
            <v>3699.0214599999999</v>
          </cell>
          <cell r="AA209" t="str">
            <v>244 - ANTIACNEICOS SISTÊMICOS</v>
          </cell>
          <cell r="AB209" t="str">
            <v>N</v>
          </cell>
          <cell r="AC209" t="str">
            <v>N</v>
          </cell>
          <cell r="AD209">
            <v>0</v>
          </cell>
          <cell r="AE209" t="str">
            <v>N</v>
          </cell>
          <cell r="AF209">
            <v>0</v>
          </cell>
          <cell r="AG209">
            <v>10.76</v>
          </cell>
          <cell r="AH209">
            <v>11.4</v>
          </cell>
          <cell r="AI209">
            <v>0</v>
          </cell>
          <cell r="AJ209">
            <v>11.54</v>
          </cell>
          <cell r="AK209">
            <v>11.69</v>
          </cell>
          <cell r="AL209">
            <v>0</v>
          </cell>
          <cell r="AM209">
            <v>11.4</v>
          </cell>
          <cell r="AN209">
            <v>0</v>
          </cell>
          <cell r="AO209">
            <v>14.88</v>
          </cell>
          <cell r="AP209">
            <v>15.76</v>
          </cell>
          <cell r="AQ209">
            <v>0</v>
          </cell>
          <cell r="AR209">
            <v>15.96</v>
          </cell>
          <cell r="AS209">
            <v>16.16</v>
          </cell>
          <cell r="AT209">
            <v>0</v>
          </cell>
          <cell r="AU209">
            <v>15.76</v>
          </cell>
          <cell r="AV209">
            <v>0</v>
          </cell>
          <cell r="AW209">
            <v>11.08</v>
          </cell>
          <cell r="AX209">
            <v>11.75</v>
          </cell>
          <cell r="AY209">
            <v>11.82</v>
          </cell>
          <cell r="AZ209">
            <v>11.89</v>
          </cell>
          <cell r="BA209">
            <v>12.04</v>
          </cell>
          <cell r="BB209">
            <v>12.04</v>
          </cell>
          <cell r="BC209">
            <v>11.75</v>
          </cell>
          <cell r="BD209">
            <v>0</v>
          </cell>
          <cell r="BE209">
            <v>15.32</v>
          </cell>
          <cell r="BF209">
            <v>16.239999999999998</v>
          </cell>
          <cell r="BG209">
            <v>16.34</v>
          </cell>
          <cell r="BH209">
            <v>16.440000000000001</v>
          </cell>
          <cell r="BI209">
            <v>16.64</v>
          </cell>
          <cell r="BJ209">
            <v>16.850000000000001</v>
          </cell>
          <cell r="BK209">
            <v>16.239999999999998</v>
          </cell>
        </row>
        <row r="210">
          <cell r="A210"/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</row>
        <row r="211">
          <cell r="A211"/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</row>
        <row r="212">
          <cell r="A212">
            <v>7891721015366</v>
          </cell>
          <cell r="B212">
            <v>1008902470036</v>
          </cell>
          <cell r="C212">
            <v>525403302118416</v>
          </cell>
          <cell r="D212" t="str">
            <v>DICLIN</v>
          </cell>
          <cell r="E212" t="str">
            <v>2 MG + 0,035 MG COM REV CT CART EST CAL AL PVC X 63</v>
          </cell>
          <cell r="F212" t="str">
            <v>Comprimido revestido</v>
          </cell>
          <cell r="G212"/>
          <cell r="H212"/>
          <cell r="I212">
            <v>63</v>
          </cell>
          <cell r="J212"/>
          <cell r="K212" t="str">
            <v>Conformidade</v>
          </cell>
          <cell r="L212">
            <v>2</v>
          </cell>
          <cell r="M212" t="str">
            <v>Tarja Vermelha</v>
          </cell>
          <cell r="N212" t="str">
            <v>Não</v>
          </cell>
          <cell r="O212" t="str">
            <v>Não</v>
          </cell>
          <cell r="P212" t="str">
            <v>Não</v>
          </cell>
          <cell r="Q212" t="str">
            <v>II</v>
          </cell>
          <cell r="R212"/>
          <cell r="S212" t="str">
            <v>Similar</v>
          </cell>
          <cell r="T212" t="str">
            <v>Monitorado</v>
          </cell>
          <cell r="U212"/>
          <cell r="V212" t="str">
            <v>57-63-6,427-51-0</v>
          </cell>
          <cell r="W212"/>
          <cell r="X212"/>
          <cell r="Y212" t="str">
            <v>MG</v>
          </cell>
          <cell r="Z212">
            <v>3699.0214599999999</v>
          </cell>
          <cell r="AA212" t="str">
            <v>244 - ANTIACNEICOS SISTÊMICOS</v>
          </cell>
          <cell r="AB212" t="str">
            <v>N</v>
          </cell>
          <cell r="AC212" t="str">
            <v>N</v>
          </cell>
          <cell r="AD212">
            <v>0</v>
          </cell>
          <cell r="AE212" t="str">
            <v>N</v>
          </cell>
          <cell r="AF212">
            <v>0</v>
          </cell>
          <cell r="AG212">
            <v>25.88</v>
          </cell>
          <cell r="AH212">
            <v>27.44</v>
          </cell>
          <cell r="AI212">
            <v>0</v>
          </cell>
          <cell r="AJ212">
            <v>27.78</v>
          </cell>
          <cell r="AK212">
            <v>28.12</v>
          </cell>
          <cell r="AL212">
            <v>0</v>
          </cell>
          <cell r="AM212">
            <v>27.44</v>
          </cell>
          <cell r="AN212">
            <v>0</v>
          </cell>
          <cell r="AO212">
            <v>35.78</v>
          </cell>
          <cell r="AP212">
            <v>37.93</v>
          </cell>
          <cell r="AQ212">
            <v>0</v>
          </cell>
          <cell r="AR212">
            <v>38.4</v>
          </cell>
          <cell r="AS212">
            <v>38.869999999999997</v>
          </cell>
          <cell r="AT212">
            <v>0</v>
          </cell>
          <cell r="AU212">
            <v>37.93</v>
          </cell>
          <cell r="AV212">
            <v>0</v>
          </cell>
          <cell r="AW212">
            <v>26.68</v>
          </cell>
          <cell r="AX212">
            <v>28.29</v>
          </cell>
          <cell r="AY212">
            <v>28.46</v>
          </cell>
          <cell r="AZ212">
            <v>28.63</v>
          </cell>
          <cell r="BA212">
            <v>28.98</v>
          </cell>
          <cell r="BB212">
            <v>28.98</v>
          </cell>
          <cell r="BC212">
            <v>28.29</v>
          </cell>
          <cell r="BD212">
            <v>0</v>
          </cell>
          <cell r="BE212">
            <v>36.880000000000003</v>
          </cell>
          <cell r="BF212">
            <v>39.11</v>
          </cell>
          <cell r="BG212">
            <v>39.340000000000003</v>
          </cell>
          <cell r="BH212">
            <v>39.58</v>
          </cell>
          <cell r="BI212">
            <v>40.06</v>
          </cell>
          <cell r="BJ212">
            <v>40.57</v>
          </cell>
          <cell r="BK212">
            <v>39.11</v>
          </cell>
        </row>
        <row r="213">
          <cell r="A213"/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</row>
        <row r="214">
          <cell r="A214">
            <v>7891721200663</v>
          </cell>
          <cell r="B214">
            <v>1008903180015</v>
          </cell>
          <cell r="C214">
            <v>525418501111118</v>
          </cell>
          <cell r="D214" t="str">
            <v>DICLOFENACO SÓDICO</v>
          </cell>
          <cell r="E214" t="str">
            <v>100 MG CAP GEL DURA MICROG EST CART BL AL PLAS INC X 10</v>
          </cell>
          <cell r="F214" t="str">
            <v>Cápsula dura</v>
          </cell>
          <cell r="G214"/>
          <cell r="H214"/>
          <cell r="I214">
            <v>10</v>
          </cell>
          <cell r="J214"/>
          <cell r="K214" t="str">
            <v>Conformidade</v>
          </cell>
          <cell r="L214">
            <v>1</v>
          </cell>
          <cell r="M214" t="str">
            <v>Tarja Vermelha</v>
          </cell>
          <cell r="N214" t="str">
            <v>Não</v>
          </cell>
          <cell r="O214" t="str">
            <v>Não</v>
          </cell>
          <cell r="P214" t="str">
            <v>Não</v>
          </cell>
          <cell r="Q214" t="str">
            <v>I</v>
          </cell>
          <cell r="R214"/>
          <cell r="S214" t="str">
            <v>Genérico</v>
          </cell>
          <cell r="T214" t="str">
            <v>Monitorado</v>
          </cell>
          <cell r="U214"/>
          <cell r="V214" t="str">
            <v>15307-86-5</v>
          </cell>
          <cell r="W214"/>
          <cell r="X214"/>
          <cell r="Y214" t="str">
            <v>MG</v>
          </cell>
          <cell r="Z214">
            <v>2926</v>
          </cell>
          <cell r="AA214" t="str">
            <v>466 - ANTI-REUMÁTICOS NÃO ESTEROIDAIS PUROS</v>
          </cell>
          <cell r="AB214" t="str">
            <v>N</v>
          </cell>
          <cell r="AC214" t="str">
            <v>N</v>
          </cell>
          <cell r="AD214">
            <v>0</v>
          </cell>
          <cell r="AE214" t="str">
            <v>N</v>
          </cell>
          <cell r="AF214">
            <v>0</v>
          </cell>
          <cell r="AG214">
            <v>9.51</v>
          </cell>
          <cell r="AH214">
            <v>10.08</v>
          </cell>
          <cell r="AI214">
            <v>0</v>
          </cell>
          <cell r="AJ214">
            <v>10.199999999999999</v>
          </cell>
          <cell r="AK214">
            <v>10.33</v>
          </cell>
          <cell r="AL214">
            <v>0</v>
          </cell>
          <cell r="AM214">
            <v>10.08</v>
          </cell>
          <cell r="AN214">
            <v>0</v>
          </cell>
          <cell r="AO214">
            <v>13.15</v>
          </cell>
          <cell r="AP214">
            <v>13.94</v>
          </cell>
          <cell r="AQ214">
            <v>0</v>
          </cell>
          <cell r="AR214">
            <v>14.11</v>
          </cell>
          <cell r="AS214">
            <v>14.28</v>
          </cell>
          <cell r="AT214">
            <v>0</v>
          </cell>
          <cell r="AU214">
            <v>13.94</v>
          </cell>
          <cell r="AV214">
            <v>0</v>
          </cell>
          <cell r="AW214">
            <v>9.9600000000000009</v>
          </cell>
          <cell r="AX214">
            <v>10.56</v>
          </cell>
          <cell r="AY214">
            <v>10.62</v>
          </cell>
          <cell r="AZ214">
            <v>10.69</v>
          </cell>
          <cell r="BA214">
            <v>10.82</v>
          </cell>
          <cell r="BB214">
            <v>10.82</v>
          </cell>
          <cell r="BC214">
            <v>10.56</v>
          </cell>
          <cell r="BD214">
            <v>0</v>
          </cell>
          <cell r="BE214">
            <v>13.77</v>
          </cell>
          <cell r="BF214">
            <v>14.6</v>
          </cell>
          <cell r="BG214">
            <v>14.68</v>
          </cell>
          <cell r="BH214">
            <v>14.77</v>
          </cell>
          <cell r="BI214">
            <v>14.96</v>
          </cell>
          <cell r="BJ214">
            <v>15.14</v>
          </cell>
          <cell r="BK214">
            <v>14.6</v>
          </cell>
        </row>
        <row r="215">
          <cell r="A215"/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</row>
        <row r="216">
          <cell r="A216">
            <v>7891721104336</v>
          </cell>
          <cell r="B216">
            <v>1008902420012</v>
          </cell>
          <cell r="C216">
            <v>525403401116411</v>
          </cell>
          <cell r="D216" t="str">
            <v>DINAVITAL</v>
          </cell>
          <cell r="E216" t="str">
            <v>1G + 1G COM EFER CT TB PLAS INC X 10</v>
          </cell>
          <cell r="F216" t="str">
            <v>Comprimido efervescente</v>
          </cell>
          <cell r="G216"/>
          <cell r="H216"/>
          <cell r="I216">
            <v>10</v>
          </cell>
          <cell r="J216"/>
          <cell r="K216" t="str">
            <v>Conformidade</v>
          </cell>
          <cell r="L216">
            <v>3</v>
          </cell>
          <cell r="M216" t="str">
            <v>Venda Livre</v>
          </cell>
          <cell r="N216" t="str">
            <v>Não</v>
          </cell>
          <cell r="O216" t="str">
            <v>Não</v>
          </cell>
          <cell r="P216" t="str">
            <v>Não</v>
          </cell>
          <cell r="Q216" t="str">
            <v>N</v>
          </cell>
          <cell r="R216"/>
          <cell r="S216" t="str">
            <v>Genérico</v>
          </cell>
          <cell r="T216" t="str">
            <v>Liberado</v>
          </cell>
          <cell r="U216" t="str">
            <v>Resolução Nº 3, de 18 de Março de 2010</v>
          </cell>
          <cell r="V216" t="str">
            <v>7675-83-4,50-81-7</v>
          </cell>
          <cell r="W216"/>
          <cell r="X216"/>
          <cell r="Y216" t="str">
            <v>G</v>
          </cell>
          <cell r="Z216">
            <v>868.00103999999999</v>
          </cell>
          <cell r="AA216" t="str">
            <v>110 - TODOS OS OUTROS TÔNICOS</v>
          </cell>
          <cell r="AB216" t="str">
            <v>N</v>
          </cell>
          <cell r="AC216" t="str">
            <v>N</v>
          </cell>
          <cell r="AD216">
            <v>0</v>
          </cell>
          <cell r="AE216" t="str">
            <v>N</v>
          </cell>
          <cell r="AF216">
            <v>0</v>
          </cell>
          <cell r="AG216">
            <v>13.73</v>
          </cell>
          <cell r="AH216">
            <v>14.68</v>
          </cell>
          <cell r="AI216">
            <v>0</v>
          </cell>
          <cell r="AJ216">
            <v>14.89</v>
          </cell>
          <cell r="AK216">
            <v>15.1</v>
          </cell>
          <cell r="AL216">
            <v>0</v>
          </cell>
          <cell r="AM216">
            <v>12.78</v>
          </cell>
          <cell r="AN216">
            <v>0</v>
          </cell>
          <cell r="AO216">
            <v>18.34</v>
          </cell>
          <cell r="AP216">
            <v>19.57</v>
          </cell>
          <cell r="AQ216">
            <v>0</v>
          </cell>
          <cell r="AR216">
            <v>19.84</v>
          </cell>
          <cell r="AS216">
            <v>20.11</v>
          </cell>
          <cell r="AT216">
            <v>0</v>
          </cell>
          <cell r="AU216">
            <v>17.670000000000002</v>
          </cell>
          <cell r="AV216">
            <v>0</v>
          </cell>
          <cell r="AW216">
            <v>0.92</v>
          </cell>
          <cell r="AX216">
            <v>0.99</v>
          </cell>
          <cell r="AY216">
            <v>0.99</v>
          </cell>
          <cell r="AZ216">
            <v>1</v>
          </cell>
          <cell r="BA216">
            <v>1.01</v>
          </cell>
          <cell r="BB216">
            <v>1.01</v>
          </cell>
          <cell r="BC216">
            <v>0.86</v>
          </cell>
          <cell r="BD216">
            <v>0</v>
          </cell>
          <cell r="BE216">
            <v>1.23</v>
          </cell>
          <cell r="BF216">
            <v>1.32</v>
          </cell>
          <cell r="BG216">
            <v>1.32</v>
          </cell>
          <cell r="BH216">
            <v>1.33</v>
          </cell>
          <cell r="BI216">
            <v>1.34</v>
          </cell>
          <cell r="BJ216">
            <v>1.37</v>
          </cell>
          <cell r="BK216">
            <v>1.19</v>
          </cell>
        </row>
        <row r="217">
          <cell r="A217">
            <v>7891721238369</v>
          </cell>
          <cell r="B217">
            <v>1008903010012</v>
          </cell>
          <cell r="C217">
            <v>525417401164114</v>
          </cell>
          <cell r="D217" t="str">
            <v>DIPROPIONATO DE BETAMETASONA + ÁCIDO SALICÍLICO</v>
          </cell>
          <cell r="E217" t="str">
            <v>0,5 MG/G + 30 MG/G POM DERM CT BG AL X 30 G </v>
          </cell>
          <cell r="F217" t="str">
            <v>POMADA DERMATOLÓGICA</v>
          </cell>
          <cell r="G217">
            <v>1</v>
          </cell>
          <cell r="H217" t="str">
            <v>BISNAGA</v>
          </cell>
          <cell r="I217">
            <v>30</v>
          </cell>
          <cell r="J217" t="str">
            <v>G</v>
          </cell>
          <cell r="K217" t="str">
            <v>Conformidade</v>
          </cell>
          <cell r="L217">
            <v>2</v>
          </cell>
          <cell r="M217" t="str">
            <v>Tarja Vermelha</v>
          </cell>
          <cell r="N217" t="str">
            <v>Não</v>
          </cell>
          <cell r="O217" t="str">
            <v>Não</v>
          </cell>
          <cell r="P217" t="str">
            <v>Não</v>
          </cell>
          <cell r="Q217" t="str">
            <v>N</v>
          </cell>
          <cell r="R217"/>
          <cell r="S217" t="str">
            <v>Genérico</v>
          </cell>
          <cell r="T217" t="str">
            <v>Monitorado</v>
          </cell>
          <cell r="U217"/>
          <cell r="V217" t="str">
            <v>69-72-7,5593-20-4</v>
          </cell>
          <cell r="W217"/>
          <cell r="X217"/>
          <cell r="Y217" t="str">
            <v>MG</v>
          </cell>
          <cell r="Z217">
            <v>340.01217000000003</v>
          </cell>
          <cell r="AA217" t="str">
            <v>236 - CORTICOESTERÓIDES ASSOCIADOS A ANTIBACTERIANOS</v>
          </cell>
          <cell r="AB217" t="str">
            <v>N</v>
          </cell>
          <cell r="AC217" t="str">
            <v>N</v>
          </cell>
          <cell r="AD217">
            <v>0</v>
          </cell>
          <cell r="AE217" t="str">
            <v>N</v>
          </cell>
          <cell r="AF217">
            <v>0</v>
          </cell>
          <cell r="AG217">
            <v>11.84</v>
          </cell>
          <cell r="AH217">
            <v>12.66</v>
          </cell>
          <cell r="AI217">
            <v>0</v>
          </cell>
          <cell r="AJ217">
            <v>12.84</v>
          </cell>
          <cell r="AK217">
            <v>13.02</v>
          </cell>
          <cell r="AL217">
            <v>0</v>
          </cell>
          <cell r="AM217">
            <v>11.02</v>
          </cell>
          <cell r="AN217">
            <v>0</v>
          </cell>
          <cell r="AO217">
            <v>15.82</v>
          </cell>
          <cell r="AP217">
            <v>16.87</v>
          </cell>
          <cell r="AQ217">
            <v>0</v>
          </cell>
          <cell r="AR217">
            <v>17.11</v>
          </cell>
          <cell r="AS217">
            <v>17.34</v>
          </cell>
          <cell r="AT217">
            <v>0</v>
          </cell>
          <cell r="AU217">
            <v>15.23</v>
          </cell>
          <cell r="AV217">
            <v>0</v>
          </cell>
          <cell r="AW217">
            <v>11.84</v>
          </cell>
          <cell r="AX217">
            <v>12.66</v>
          </cell>
          <cell r="AY217">
            <v>12.75</v>
          </cell>
          <cell r="AZ217">
            <v>12.84</v>
          </cell>
          <cell r="BA217">
            <v>13.02</v>
          </cell>
          <cell r="BB217">
            <v>13.02</v>
          </cell>
          <cell r="BC217">
            <v>11.02</v>
          </cell>
          <cell r="BD217">
            <v>0</v>
          </cell>
          <cell r="BE217">
            <v>15.82</v>
          </cell>
          <cell r="BF217">
            <v>16.87</v>
          </cell>
          <cell r="BG217">
            <v>16.989999999999998</v>
          </cell>
          <cell r="BH217">
            <v>17.11</v>
          </cell>
          <cell r="BI217">
            <v>17.34</v>
          </cell>
          <cell r="BJ217">
            <v>17.579999999999998</v>
          </cell>
          <cell r="BK217">
            <v>15.23</v>
          </cell>
        </row>
        <row r="218">
          <cell r="A218">
            <v>7891721021213</v>
          </cell>
          <cell r="B218">
            <v>1008903350050</v>
          </cell>
          <cell r="C218">
            <v>525419504130316</v>
          </cell>
          <cell r="D218" t="str">
            <v>ERBITUX</v>
          </cell>
          <cell r="E218" t="str">
            <v>5 MG/ML SOL INJ CT FA VD INC X 100 ML  </v>
          </cell>
          <cell r="F218" t="str">
            <v>Solução injetável</v>
          </cell>
          <cell r="G218">
            <v>1</v>
          </cell>
          <cell r="H218" t="str">
            <v>FRASCO-AMPOLA</v>
          </cell>
          <cell r="I218">
            <v>100</v>
          </cell>
          <cell r="J218" t="str">
            <v>ML</v>
          </cell>
          <cell r="K218" t="str">
            <v>Conformidade</v>
          </cell>
          <cell r="L218">
            <v>3</v>
          </cell>
          <cell r="M218" t="str">
            <v>Tarja Vermelha</v>
          </cell>
          <cell r="N218" t="str">
            <v>Não</v>
          </cell>
          <cell r="O218" t="str">
            <v>Não</v>
          </cell>
          <cell r="P218" t="str">
            <v>Não</v>
          </cell>
          <cell r="Q218" t="str">
            <v>I</v>
          </cell>
          <cell r="R218"/>
          <cell r="S218" t="str">
            <v>Similar</v>
          </cell>
          <cell r="T218" t="str">
            <v>Monitorado</v>
          </cell>
          <cell r="U218"/>
          <cell r="V218" t="str">
            <v>205923-56-4</v>
          </cell>
          <cell r="W218"/>
          <cell r="X218"/>
          <cell r="Y218" t="str">
            <v>MG/ML</v>
          </cell>
          <cell r="Z218">
            <v>1975</v>
          </cell>
          <cell r="AA218" t="str">
            <v>716 - ANTICORPOS MONOCLONAIS ANTINEOPLÁSICOS</v>
          </cell>
          <cell r="AB218" t="str">
            <v>N</v>
          </cell>
          <cell r="AC218" t="str">
            <v>N</v>
          </cell>
          <cell r="AD218">
            <v>0</v>
          </cell>
          <cell r="AE218" t="str">
            <v>N</v>
          </cell>
          <cell r="AF218">
            <v>0</v>
          </cell>
          <cell r="AG218">
            <v>4042.68</v>
          </cell>
          <cell r="AH218">
            <v>4286.21</v>
          </cell>
          <cell r="AI218">
            <v>0</v>
          </cell>
          <cell r="AJ218">
            <v>4338.4799999999996</v>
          </cell>
          <cell r="AK218">
            <v>4392.0600000000004</v>
          </cell>
          <cell r="AL218">
            <v>0</v>
          </cell>
          <cell r="AM218">
            <v>4286.21</v>
          </cell>
          <cell r="AN218">
            <v>0</v>
          </cell>
          <cell r="AO218">
            <v>5588.77</v>
          </cell>
          <cell r="AP218">
            <v>5925.43</v>
          </cell>
          <cell r="AQ218">
            <v>0</v>
          </cell>
          <cell r="AR218">
            <v>5997.7</v>
          </cell>
          <cell r="AS218">
            <v>6071.77</v>
          </cell>
          <cell r="AT218">
            <v>0</v>
          </cell>
          <cell r="AU218">
            <v>5925.43</v>
          </cell>
          <cell r="AV218">
            <v>0</v>
          </cell>
          <cell r="AW218">
            <v>4097.6499999999996</v>
          </cell>
          <cell r="AX218">
            <v>4344.5</v>
          </cell>
          <cell r="AY218">
            <v>4370.83</v>
          </cell>
          <cell r="AZ218">
            <v>4397.4799999999996</v>
          </cell>
          <cell r="BA218">
            <v>4451.79</v>
          </cell>
          <cell r="BB218">
            <v>4451.79</v>
          </cell>
          <cell r="BC218">
            <v>4344.5</v>
          </cell>
          <cell r="BD218">
            <v>0</v>
          </cell>
          <cell r="BE218">
            <v>5664.76</v>
          </cell>
          <cell r="BF218">
            <v>6006.02</v>
          </cell>
          <cell r="BG218">
            <v>6042.42</v>
          </cell>
          <cell r="BH218">
            <v>6079.26</v>
          </cell>
          <cell r="BI218">
            <v>6154.34</v>
          </cell>
          <cell r="BJ218">
            <v>6231.24</v>
          </cell>
          <cell r="BK218">
            <v>6006.02</v>
          </cell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</row>
        <row r="220">
          <cell r="A220"/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</row>
        <row r="221">
          <cell r="A221">
            <v>7891721021220</v>
          </cell>
          <cell r="B221">
            <v>1008903350034</v>
          </cell>
          <cell r="C221">
            <v>525419505137314</v>
          </cell>
          <cell r="D221" t="str">
            <v>ERBITUX</v>
          </cell>
          <cell r="E221" t="str">
            <v>5 MG/ML SOL INJ CT FA VD INC X 20 ML </v>
          </cell>
          <cell r="F221" t="str">
            <v>Solução injetável</v>
          </cell>
          <cell r="G221">
            <v>1</v>
          </cell>
          <cell r="H221" t="str">
            <v>FRASCO-AMPOLA</v>
          </cell>
          <cell r="I221">
            <v>20</v>
          </cell>
          <cell r="J221" t="str">
            <v>ML</v>
          </cell>
          <cell r="K221" t="str">
            <v>Conformidade</v>
          </cell>
          <cell r="L221">
            <v>3</v>
          </cell>
          <cell r="M221" t="str">
            <v>Tarja Vermelha</v>
          </cell>
          <cell r="N221" t="str">
            <v>Não</v>
          </cell>
          <cell r="O221" t="str">
            <v>Não</v>
          </cell>
          <cell r="P221" t="str">
            <v>Não</v>
          </cell>
          <cell r="Q221" t="str">
            <v>I</v>
          </cell>
          <cell r="R221"/>
          <cell r="S221" t="str">
            <v>Similar</v>
          </cell>
          <cell r="T221" t="str">
            <v>Monitorado</v>
          </cell>
          <cell r="U221"/>
          <cell r="V221" t="str">
            <v>205923-56-4</v>
          </cell>
          <cell r="W221"/>
          <cell r="X221"/>
          <cell r="Y221" t="str">
            <v>MG/ML</v>
          </cell>
          <cell r="Z221">
            <v>1975</v>
          </cell>
          <cell r="AA221" t="str">
            <v>716 - ANTICORPOS MONOCLONAIS ANTINEOPLÁSICOS</v>
          </cell>
          <cell r="AB221" t="str">
            <v>N</v>
          </cell>
          <cell r="AC221" t="str">
            <v>N</v>
          </cell>
          <cell r="AD221">
            <v>0</v>
          </cell>
          <cell r="AE221" t="str">
            <v>N</v>
          </cell>
          <cell r="AF221">
            <v>0</v>
          </cell>
          <cell r="AG221">
            <v>808.56</v>
          </cell>
          <cell r="AH221">
            <v>857.27</v>
          </cell>
          <cell r="AI221">
            <v>0</v>
          </cell>
          <cell r="AJ221">
            <v>867.72</v>
          </cell>
          <cell r="AK221">
            <v>878.44</v>
          </cell>
          <cell r="AL221">
            <v>0</v>
          </cell>
          <cell r="AM221">
            <v>857.27</v>
          </cell>
          <cell r="AN221">
            <v>0</v>
          </cell>
          <cell r="AO221">
            <v>1117.79</v>
          </cell>
          <cell r="AP221">
            <v>1185.1300000000001</v>
          </cell>
          <cell r="AQ221">
            <v>0</v>
          </cell>
          <cell r="AR221">
            <v>1199.58</v>
          </cell>
          <cell r="AS221">
            <v>1214.3900000000001</v>
          </cell>
          <cell r="AT221">
            <v>0</v>
          </cell>
          <cell r="AU221">
            <v>1185.1300000000001</v>
          </cell>
          <cell r="AV221">
            <v>0</v>
          </cell>
          <cell r="AW221">
            <v>819.55</v>
          </cell>
          <cell r="AX221">
            <v>868.92</v>
          </cell>
          <cell r="AY221">
            <v>874.19</v>
          </cell>
          <cell r="AZ221">
            <v>879.52</v>
          </cell>
          <cell r="BA221">
            <v>890.38</v>
          </cell>
          <cell r="BB221">
            <v>890.38</v>
          </cell>
          <cell r="BC221">
            <v>868.92</v>
          </cell>
          <cell r="BD221">
            <v>0</v>
          </cell>
          <cell r="BE221">
            <v>1132.98</v>
          </cell>
          <cell r="BF221">
            <v>1201.23</v>
          </cell>
          <cell r="BG221">
            <v>1208.52</v>
          </cell>
          <cell r="BH221">
            <v>1215.8800000000001</v>
          </cell>
          <cell r="BI221">
            <v>1230.9000000000001</v>
          </cell>
          <cell r="BJ221">
            <v>1246.28</v>
          </cell>
          <cell r="BK221">
            <v>1201.23</v>
          </cell>
        </row>
        <row r="222">
          <cell r="A222"/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</row>
        <row r="223">
          <cell r="A223"/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</row>
        <row r="225">
          <cell r="A225">
            <v>7891721024641</v>
          </cell>
          <cell r="B225">
            <v>1008902580028</v>
          </cell>
          <cell r="C225">
            <v>525403802110414</v>
          </cell>
          <cell r="D225" t="str">
            <v>ESCLEROVITAN</v>
          </cell>
          <cell r="E225" t="str">
            <v>CAP GEL MOLE EST CART TB PLAS X 30 PLUS</v>
          </cell>
          <cell r="F225" t="str">
            <v>Cápsula mole</v>
          </cell>
          <cell r="G225"/>
          <cell r="H225"/>
          <cell r="I225">
            <v>30</v>
          </cell>
          <cell r="J225"/>
          <cell r="K225" t="str">
            <v>Conformidade</v>
          </cell>
          <cell r="L225">
            <v>3</v>
          </cell>
          <cell r="M225" t="str">
            <v>Venda Livre</v>
          </cell>
          <cell r="N225" t="str">
            <v>Não</v>
          </cell>
          <cell r="O225" t="str">
            <v>Não</v>
          </cell>
          <cell r="P225" t="str">
            <v>Não</v>
          </cell>
          <cell r="Q225" t="str">
            <v>N</v>
          </cell>
          <cell r="R225"/>
          <cell r="S225" t="str">
            <v>Similar</v>
          </cell>
          <cell r="T225" t="str">
            <v>Liberado</v>
          </cell>
          <cell r="U225" t="str">
            <v>RESOLUÇÃO Nº 3, DE 18 DE MARÇO DE 2010</v>
          </cell>
          <cell r="V225" t="str">
            <v>79-81-2,58-95-7,58-56-0</v>
          </cell>
          <cell r="W225"/>
          <cell r="X225"/>
          <cell r="Y225"/>
          <cell r="Z225" t="str">
            <v>07695,08717,07167</v>
          </cell>
          <cell r="AA225" t="str">
            <v>88 - POLIVITAMÍNICOS SEM MINERAIS, OUTROS</v>
          </cell>
          <cell r="AB225" t="str">
            <v>N</v>
          </cell>
          <cell r="AC225" t="str">
            <v>N</v>
          </cell>
          <cell r="AD225">
            <v>0</v>
          </cell>
          <cell r="AE225" t="str">
            <v>N</v>
          </cell>
          <cell r="AF225">
            <v>0</v>
          </cell>
          <cell r="AG225">
            <v>34.78</v>
          </cell>
          <cell r="AH225">
            <v>37.19</v>
          </cell>
          <cell r="AI225">
            <v>0</v>
          </cell>
          <cell r="AJ225">
            <v>37.71</v>
          </cell>
          <cell r="AK225">
            <v>38.25</v>
          </cell>
          <cell r="AL225">
            <v>0</v>
          </cell>
          <cell r="AM225">
            <v>32.369999999999997</v>
          </cell>
          <cell r="AN225">
            <v>0</v>
          </cell>
          <cell r="AO225">
            <v>46.46</v>
          </cell>
          <cell r="AP225">
            <v>49.57</v>
          </cell>
          <cell r="AQ225">
            <v>0</v>
          </cell>
          <cell r="AR225">
            <v>50.24</v>
          </cell>
          <cell r="AS225">
            <v>50.94</v>
          </cell>
          <cell r="AT225">
            <v>0</v>
          </cell>
          <cell r="AU225">
            <v>44.75</v>
          </cell>
          <cell r="AV225">
            <v>0</v>
          </cell>
          <cell r="AW225">
            <v>35.25</v>
          </cell>
          <cell r="AX225">
            <v>37.69</v>
          </cell>
          <cell r="AY225">
            <v>37.96</v>
          </cell>
          <cell r="AZ225">
            <v>38.22</v>
          </cell>
          <cell r="BA225">
            <v>38.770000000000003</v>
          </cell>
          <cell r="BB225">
            <v>38.770000000000003</v>
          </cell>
          <cell r="BC225">
            <v>32.81</v>
          </cell>
          <cell r="BD225">
            <v>0</v>
          </cell>
          <cell r="BE225">
            <v>47.09</v>
          </cell>
          <cell r="BF225">
            <v>50.24</v>
          </cell>
          <cell r="BG225">
            <v>50.59</v>
          </cell>
          <cell r="BH225">
            <v>50.92</v>
          </cell>
          <cell r="BI225">
            <v>51.63</v>
          </cell>
          <cell r="BJ225">
            <v>52.35</v>
          </cell>
          <cell r="BK225">
            <v>45.36</v>
          </cell>
        </row>
        <row r="226">
          <cell r="A226"/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</row>
        <row r="228">
          <cell r="A228">
            <v>7891721000096</v>
          </cell>
          <cell r="B228">
            <v>1008900240025</v>
          </cell>
          <cell r="C228">
            <v>525403801114416</v>
          </cell>
          <cell r="D228" t="str">
            <v>ESCLEROVITAN</v>
          </cell>
          <cell r="E228" t="str">
            <v>DRG EST CART BL AL PLAS INC X 30</v>
          </cell>
          <cell r="F228" t="str">
            <v>Comprimido revestido</v>
          </cell>
          <cell r="G228"/>
          <cell r="H228"/>
          <cell r="I228">
            <v>30</v>
          </cell>
          <cell r="J228"/>
          <cell r="K228" t="str">
            <v>Conformidade</v>
          </cell>
          <cell r="L228">
            <v>3</v>
          </cell>
          <cell r="M228" t="str">
            <v>Venda Livre</v>
          </cell>
          <cell r="N228" t="str">
            <v>Não</v>
          </cell>
          <cell r="O228" t="str">
            <v>Não</v>
          </cell>
          <cell r="P228" t="str">
            <v>Não</v>
          </cell>
          <cell r="Q228" t="str">
            <v>N</v>
          </cell>
          <cell r="R228"/>
          <cell r="S228" t="str">
            <v>Similar</v>
          </cell>
          <cell r="T228" t="str">
            <v>Monitorado</v>
          </cell>
          <cell r="U228"/>
          <cell r="V228" t="str">
            <v>79-81-2,58-95-7,127-47-9,58-56-0</v>
          </cell>
          <cell r="W228"/>
          <cell r="X228"/>
          <cell r="Y228" t="str">
            <v>MG</v>
          </cell>
          <cell r="Z228" t="str">
            <v>07695,08717,07694,07167</v>
          </cell>
          <cell r="AA228" t="str">
            <v>88 - POLIVITAMÍNICOS SEM MINERAIS, OUTROS</v>
          </cell>
          <cell r="AB228" t="str">
            <v>N</v>
          </cell>
          <cell r="AC228" t="str">
            <v>N</v>
          </cell>
          <cell r="AD228">
            <v>0</v>
          </cell>
          <cell r="AE228" t="str">
            <v>N</v>
          </cell>
          <cell r="AF228">
            <v>0</v>
          </cell>
          <cell r="AG228">
            <v>16.02</v>
          </cell>
          <cell r="AH228">
            <v>17.13</v>
          </cell>
          <cell r="AI228">
            <v>0</v>
          </cell>
          <cell r="AJ228">
            <v>17.37</v>
          </cell>
          <cell r="AK228">
            <v>17.62</v>
          </cell>
          <cell r="AL228">
            <v>0</v>
          </cell>
          <cell r="AM228">
            <v>14.91</v>
          </cell>
          <cell r="AN228">
            <v>0</v>
          </cell>
          <cell r="AO228">
            <v>21.4</v>
          </cell>
          <cell r="AP228">
            <v>22.83</v>
          </cell>
          <cell r="AQ228">
            <v>0</v>
          </cell>
          <cell r="AR228">
            <v>23.14</v>
          </cell>
          <cell r="AS228">
            <v>23.46</v>
          </cell>
          <cell r="AT228">
            <v>0</v>
          </cell>
          <cell r="AU228">
            <v>20.61</v>
          </cell>
          <cell r="AV228">
            <v>0</v>
          </cell>
          <cell r="AW228">
            <v>16.02</v>
          </cell>
          <cell r="AX228">
            <v>17.13</v>
          </cell>
          <cell r="AY228">
            <v>17.25</v>
          </cell>
          <cell r="AZ228">
            <v>17.37</v>
          </cell>
          <cell r="BA228">
            <v>17.62</v>
          </cell>
          <cell r="BB228">
            <v>17.62</v>
          </cell>
          <cell r="BC228">
            <v>14.91</v>
          </cell>
          <cell r="BD228">
            <v>0</v>
          </cell>
          <cell r="BE228">
            <v>21.4</v>
          </cell>
          <cell r="BF228">
            <v>22.83</v>
          </cell>
          <cell r="BG228">
            <v>22.99</v>
          </cell>
          <cell r="BH228">
            <v>23.14</v>
          </cell>
          <cell r="BI228">
            <v>23.46</v>
          </cell>
          <cell r="BJ228">
            <v>23.79</v>
          </cell>
          <cell r="BK228">
            <v>20.61</v>
          </cell>
        </row>
        <row r="229">
          <cell r="A229">
            <v>7891721024429</v>
          </cell>
          <cell r="B229">
            <v>1008903560020</v>
          </cell>
          <cell r="C229">
            <v>525420802115416</v>
          </cell>
          <cell r="D229" t="str">
            <v>ESQUIDON</v>
          </cell>
          <cell r="E229" t="str">
            <v>1 MG COM REV CT BL AL PLAS INC X 30</v>
          </cell>
          <cell r="F229" t="str">
            <v>Comprimido revestido</v>
          </cell>
          <cell r="G229"/>
          <cell r="H229"/>
          <cell r="I229">
            <v>30</v>
          </cell>
          <cell r="J229"/>
          <cell r="K229" t="str">
            <v>Conformidade</v>
          </cell>
          <cell r="L229">
            <v>1</v>
          </cell>
          <cell r="M229" t="str">
            <v>Tarja Vermelha</v>
          </cell>
          <cell r="N229" t="str">
            <v>Não</v>
          </cell>
          <cell r="O229" t="str">
            <v>Não</v>
          </cell>
          <cell r="P229" t="str">
            <v>Sim</v>
          </cell>
          <cell r="Q229" t="str">
            <v>I</v>
          </cell>
          <cell r="R229"/>
          <cell r="S229" t="str">
            <v>Similar</v>
          </cell>
          <cell r="T229" t="str">
            <v>Monitorado</v>
          </cell>
          <cell r="U229"/>
          <cell r="V229" t="str">
            <v>106266-06-2</v>
          </cell>
          <cell r="W229"/>
          <cell r="X229"/>
          <cell r="Y229" t="str">
            <v>MG</v>
          </cell>
          <cell r="Z229">
            <v>7748</v>
          </cell>
          <cell r="AA229" t="str">
            <v>493 - ANTIPSICÓTICOS ATÍPICOS</v>
          </cell>
          <cell r="AB229" t="str">
            <v>N</v>
          </cell>
          <cell r="AC229" t="str">
            <v>N</v>
          </cell>
          <cell r="AD229">
            <v>0</v>
          </cell>
          <cell r="AE229" t="str">
            <v>S</v>
          </cell>
          <cell r="AF229">
            <v>0</v>
          </cell>
          <cell r="AG229">
            <v>34.17</v>
          </cell>
          <cell r="AH229">
            <v>36.229999999999997</v>
          </cell>
          <cell r="AI229">
            <v>0</v>
          </cell>
          <cell r="AJ229">
            <v>36.68</v>
          </cell>
          <cell r="AK229">
            <v>37.130000000000003</v>
          </cell>
          <cell r="AL229">
            <v>0</v>
          </cell>
          <cell r="AM229">
            <v>36.229999999999997</v>
          </cell>
          <cell r="AN229">
            <v>0</v>
          </cell>
          <cell r="AO229">
            <v>47.24</v>
          </cell>
          <cell r="AP229">
            <v>50.09</v>
          </cell>
          <cell r="AQ229">
            <v>0</v>
          </cell>
          <cell r="AR229">
            <v>50.7</v>
          </cell>
          <cell r="AS229">
            <v>51.33</v>
          </cell>
          <cell r="AT229">
            <v>0</v>
          </cell>
          <cell r="AU229">
            <v>50.09</v>
          </cell>
          <cell r="AV229">
            <v>0</v>
          </cell>
          <cell r="AW229">
            <v>34.18</v>
          </cell>
          <cell r="AX229">
            <v>36.24</v>
          </cell>
          <cell r="AY229">
            <v>36.46</v>
          </cell>
          <cell r="AZ229">
            <v>36.68</v>
          </cell>
          <cell r="BA229">
            <v>37.130000000000003</v>
          </cell>
          <cell r="BB229">
            <v>37.130000000000003</v>
          </cell>
          <cell r="BC229">
            <v>36.24</v>
          </cell>
          <cell r="BD229">
            <v>0</v>
          </cell>
          <cell r="BE229">
            <v>47.25</v>
          </cell>
          <cell r="BF229">
            <v>50.1</v>
          </cell>
          <cell r="BG229">
            <v>50.4</v>
          </cell>
          <cell r="BH229">
            <v>50.71</v>
          </cell>
          <cell r="BI229">
            <v>51.33</v>
          </cell>
          <cell r="BJ229">
            <v>51.98</v>
          </cell>
          <cell r="BK229">
            <v>50.1</v>
          </cell>
        </row>
        <row r="230">
          <cell r="A230"/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</row>
        <row r="231">
          <cell r="A231">
            <v>7891721024412</v>
          </cell>
          <cell r="B231">
            <v>1008903560055</v>
          </cell>
          <cell r="C231">
            <v>525420801119418</v>
          </cell>
          <cell r="D231" t="str">
            <v>ESQUIDON</v>
          </cell>
          <cell r="E231" t="str">
            <v>2 MG COM REV CT BL AL PLAS INC X 30</v>
          </cell>
          <cell r="F231" t="str">
            <v>Comprimido revestido</v>
          </cell>
          <cell r="G231"/>
          <cell r="H231"/>
          <cell r="I231">
            <v>30</v>
          </cell>
          <cell r="J231"/>
          <cell r="K231" t="str">
            <v>Conformidade</v>
          </cell>
          <cell r="L231">
            <v>1</v>
          </cell>
          <cell r="M231" t="str">
            <v>Tarja Vermelha</v>
          </cell>
          <cell r="N231" t="str">
            <v>Não</v>
          </cell>
          <cell r="O231" t="str">
            <v>Não</v>
          </cell>
          <cell r="P231" t="str">
            <v>Sim</v>
          </cell>
          <cell r="Q231" t="str">
            <v>I</v>
          </cell>
          <cell r="R231"/>
          <cell r="S231" t="str">
            <v>Similar</v>
          </cell>
          <cell r="T231" t="str">
            <v>Monitorado</v>
          </cell>
          <cell r="U231"/>
          <cell r="V231" t="str">
            <v>106266-06-2</v>
          </cell>
          <cell r="W231"/>
          <cell r="X231"/>
          <cell r="Y231" t="str">
            <v>MG</v>
          </cell>
          <cell r="Z231">
            <v>7748</v>
          </cell>
          <cell r="AA231" t="str">
            <v>493 - ANTIPSICÓTICOS ATÍPICOS</v>
          </cell>
          <cell r="AB231" t="str">
            <v>N</v>
          </cell>
          <cell r="AC231" t="str">
            <v>N</v>
          </cell>
          <cell r="AD231">
            <v>0</v>
          </cell>
          <cell r="AE231" t="str">
            <v>S</v>
          </cell>
          <cell r="AF231">
            <v>0</v>
          </cell>
          <cell r="AG231">
            <v>34.17</v>
          </cell>
          <cell r="AH231">
            <v>36.229999999999997</v>
          </cell>
          <cell r="AI231">
            <v>0</v>
          </cell>
          <cell r="AJ231">
            <v>36.68</v>
          </cell>
          <cell r="AK231">
            <v>37.130000000000003</v>
          </cell>
          <cell r="AL231">
            <v>0</v>
          </cell>
          <cell r="AM231">
            <v>36.229999999999997</v>
          </cell>
          <cell r="AN231">
            <v>0</v>
          </cell>
          <cell r="AO231">
            <v>47.24</v>
          </cell>
          <cell r="AP231">
            <v>50.09</v>
          </cell>
          <cell r="AQ231">
            <v>0</v>
          </cell>
          <cell r="AR231">
            <v>50.7</v>
          </cell>
          <cell r="AS231">
            <v>51.33</v>
          </cell>
          <cell r="AT231">
            <v>0</v>
          </cell>
          <cell r="AU231">
            <v>50.09</v>
          </cell>
          <cell r="AV231">
            <v>0</v>
          </cell>
          <cell r="AW231">
            <v>34.18</v>
          </cell>
          <cell r="AX231">
            <v>36.24</v>
          </cell>
          <cell r="AY231">
            <v>36.46</v>
          </cell>
          <cell r="AZ231">
            <v>36.68</v>
          </cell>
          <cell r="BA231">
            <v>37.130000000000003</v>
          </cell>
          <cell r="BB231">
            <v>37.130000000000003</v>
          </cell>
          <cell r="BC231">
            <v>36.24</v>
          </cell>
          <cell r="BD231">
            <v>0</v>
          </cell>
          <cell r="BE231">
            <v>47.25</v>
          </cell>
          <cell r="BF231">
            <v>50.1</v>
          </cell>
          <cell r="BG231">
            <v>50.4</v>
          </cell>
          <cell r="BH231">
            <v>50.71</v>
          </cell>
          <cell r="BI231">
            <v>51.33</v>
          </cell>
          <cell r="BJ231">
            <v>51.98</v>
          </cell>
          <cell r="BK231">
            <v>50.1</v>
          </cell>
        </row>
        <row r="232">
          <cell r="A232">
            <v>7891721024405</v>
          </cell>
          <cell r="B232">
            <v>1008903560081</v>
          </cell>
          <cell r="C232">
            <v>525420803111414</v>
          </cell>
          <cell r="D232" t="str">
            <v>ESQUIDON</v>
          </cell>
          <cell r="E232" t="str">
            <v>3 MG COM REV CT BL AL PLAS INC X 30</v>
          </cell>
          <cell r="F232" t="str">
            <v>Comprimido revestido</v>
          </cell>
          <cell r="G232"/>
          <cell r="H232"/>
          <cell r="I232">
            <v>30</v>
          </cell>
          <cell r="J232"/>
          <cell r="K232" t="str">
            <v>Conformidade</v>
          </cell>
          <cell r="L232">
            <v>1</v>
          </cell>
          <cell r="M232" t="str">
            <v>Tarja Vermelha</v>
          </cell>
          <cell r="N232" t="str">
            <v>Não</v>
          </cell>
          <cell r="O232" t="str">
            <v>Não</v>
          </cell>
          <cell r="P232" t="str">
            <v>Sim</v>
          </cell>
          <cell r="Q232" t="str">
            <v>I</v>
          </cell>
          <cell r="R232"/>
          <cell r="S232" t="str">
            <v>Similar</v>
          </cell>
          <cell r="T232" t="str">
            <v>Monitorado</v>
          </cell>
          <cell r="U232"/>
          <cell r="V232" t="str">
            <v>106266-06-2</v>
          </cell>
          <cell r="W232"/>
          <cell r="X232"/>
          <cell r="Y232" t="str">
            <v>MG</v>
          </cell>
          <cell r="Z232">
            <v>7748</v>
          </cell>
          <cell r="AA232" t="str">
            <v>493 - ANTIPSICÓTICOS ATÍPICOS</v>
          </cell>
          <cell r="AB232" t="str">
            <v>N</v>
          </cell>
          <cell r="AC232" t="str">
            <v>N</v>
          </cell>
          <cell r="AD232">
            <v>0</v>
          </cell>
          <cell r="AE232" t="str">
            <v>S</v>
          </cell>
          <cell r="AF232">
            <v>0</v>
          </cell>
          <cell r="AG232">
            <v>34.17</v>
          </cell>
          <cell r="AH232">
            <v>36.229999999999997</v>
          </cell>
          <cell r="AI232">
            <v>0</v>
          </cell>
          <cell r="AJ232">
            <v>36.68</v>
          </cell>
          <cell r="AK232">
            <v>37.130000000000003</v>
          </cell>
          <cell r="AL232">
            <v>0</v>
          </cell>
          <cell r="AM232">
            <v>36.229999999999997</v>
          </cell>
          <cell r="AN232">
            <v>0</v>
          </cell>
          <cell r="AO232">
            <v>47.24</v>
          </cell>
          <cell r="AP232">
            <v>50.09</v>
          </cell>
          <cell r="AQ232">
            <v>0</v>
          </cell>
          <cell r="AR232">
            <v>50.7</v>
          </cell>
          <cell r="AS232">
            <v>51.33</v>
          </cell>
          <cell r="AT232">
            <v>0</v>
          </cell>
          <cell r="AU232">
            <v>50.09</v>
          </cell>
          <cell r="AV232">
            <v>0</v>
          </cell>
          <cell r="AW232">
            <v>34.18</v>
          </cell>
          <cell r="AX232">
            <v>36.24</v>
          </cell>
          <cell r="AY232">
            <v>36.46</v>
          </cell>
          <cell r="AZ232">
            <v>36.68</v>
          </cell>
          <cell r="BA232">
            <v>37.130000000000003</v>
          </cell>
          <cell r="BB232">
            <v>37.130000000000003</v>
          </cell>
          <cell r="BC232">
            <v>36.24</v>
          </cell>
          <cell r="BD232">
            <v>0</v>
          </cell>
          <cell r="BE232">
            <v>47.25</v>
          </cell>
          <cell r="BF232">
            <v>50.1</v>
          </cell>
          <cell r="BG232">
            <v>50.4</v>
          </cell>
          <cell r="BH232">
            <v>50.71</v>
          </cell>
          <cell r="BI232">
            <v>51.33</v>
          </cell>
          <cell r="BJ232">
            <v>51.98</v>
          </cell>
          <cell r="BK232">
            <v>50.1</v>
          </cell>
        </row>
        <row r="233">
          <cell r="A233">
            <v>7891721012105</v>
          </cell>
          <cell r="B233">
            <v>1008902840046</v>
          </cell>
          <cell r="C233">
            <v>525403903162411</v>
          </cell>
          <cell r="D233" t="str">
            <v>ESTREVA</v>
          </cell>
          <cell r="E233" t="str">
            <v>0,1 PCC GEL CT CART FR PLAS OPC X 50 G</v>
          </cell>
          <cell r="F233" t="str">
            <v>Gel</v>
          </cell>
          <cell r="G233">
            <v>1</v>
          </cell>
          <cell r="H233" t="str">
            <v>FRASCO</v>
          </cell>
          <cell r="I233">
            <v>50</v>
          </cell>
          <cell r="J233" t="str">
            <v>G</v>
          </cell>
          <cell r="K233" t="str">
            <v>Conformidade</v>
          </cell>
          <cell r="L233">
            <v>1</v>
          </cell>
          <cell r="M233" t="str">
            <v>Tarja Vermelha</v>
          </cell>
          <cell r="N233" t="str">
            <v>Não</v>
          </cell>
          <cell r="O233" t="str">
            <v>Não</v>
          </cell>
          <cell r="P233" t="str">
            <v>Não</v>
          </cell>
          <cell r="Q233" t="str">
            <v>I</v>
          </cell>
          <cell r="R233"/>
          <cell r="S233" t="str">
            <v>Similar</v>
          </cell>
          <cell r="T233" t="str">
            <v>Monitorado</v>
          </cell>
          <cell r="U233"/>
          <cell r="V233" t="str">
            <v>50-28-2</v>
          </cell>
          <cell r="W233"/>
          <cell r="X233"/>
          <cell r="Y233" t="str">
            <v>PCC</v>
          </cell>
          <cell r="Z233">
            <v>3595</v>
          </cell>
          <cell r="AA233" t="str">
            <v>266 - ESTRÓGENOS EXCLUINDO G3A, G3E, G3F</v>
          </cell>
          <cell r="AB233" t="str">
            <v>N</v>
          </cell>
          <cell r="AC233" t="str">
            <v>N</v>
          </cell>
          <cell r="AD233">
            <v>0</v>
          </cell>
          <cell r="AE233" t="str">
            <v>N</v>
          </cell>
          <cell r="AF233">
            <v>0</v>
          </cell>
          <cell r="AG233">
            <v>35.06</v>
          </cell>
          <cell r="AH233">
            <v>37.18</v>
          </cell>
          <cell r="AI233">
            <v>0</v>
          </cell>
          <cell r="AJ233">
            <v>37.630000000000003</v>
          </cell>
          <cell r="AK233">
            <v>38.090000000000003</v>
          </cell>
          <cell r="AL233">
            <v>0</v>
          </cell>
          <cell r="AM233">
            <v>37.18</v>
          </cell>
          <cell r="AN233">
            <v>0</v>
          </cell>
          <cell r="AO233">
            <v>48.47</v>
          </cell>
          <cell r="AP233">
            <v>51.4</v>
          </cell>
          <cell r="AQ233">
            <v>0</v>
          </cell>
          <cell r="AR233">
            <v>52.02</v>
          </cell>
          <cell r="AS233">
            <v>52.66</v>
          </cell>
          <cell r="AT233">
            <v>0</v>
          </cell>
          <cell r="AU233">
            <v>51.4</v>
          </cell>
          <cell r="AV233">
            <v>0</v>
          </cell>
          <cell r="AW233">
            <v>35.06</v>
          </cell>
          <cell r="AX233">
            <v>37.18</v>
          </cell>
          <cell r="AY233">
            <v>37.4</v>
          </cell>
          <cell r="AZ233">
            <v>37.630000000000003</v>
          </cell>
          <cell r="BA233">
            <v>38.090000000000003</v>
          </cell>
          <cell r="BB233">
            <v>38.090000000000003</v>
          </cell>
          <cell r="BC233">
            <v>37.18</v>
          </cell>
          <cell r="BD233">
            <v>0</v>
          </cell>
          <cell r="BE233">
            <v>48.47</v>
          </cell>
          <cell r="BF233">
            <v>51.4</v>
          </cell>
          <cell r="BG233">
            <v>51.7</v>
          </cell>
          <cell r="BH233">
            <v>52.02</v>
          </cell>
          <cell r="BI233">
            <v>52.66</v>
          </cell>
          <cell r="BJ233">
            <v>53.32</v>
          </cell>
          <cell r="BK233">
            <v>51.4</v>
          </cell>
        </row>
        <row r="234">
          <cell r="A234">
            <v>7891721014239</v>
          </cell>
          <cell r="B234">
            <v>1008902020707</v>
          </cell>
          <cell r="C234">
            <v>525404125112419</v>
          </cell>
          <cell r="D234" t="str">
            <v>EUTHYROX</v>
          </cell>
          <cell r="E234" t="str">
            <v>100 MCG COM EST BL AL AL X 50</v>
          </cell>
          <cell r="F234" t="str">
            <v>Comprimido</v>
          </cell>
          <cell r="G234"/>
          <cell r="H234"/>
          <cell r="I234">
            <v>50</v>
          </cell>
          <cell r="J234"/>
          <cell r="K234" t="str">
            <v>Conformidade</v>
          </cell>
          <cell r="L234">
            <v>3</v>
          </cell>
          <cell r="M234" t="str">
            <v>Tarja Vermelha</v>
          </cell>
          <cell r="N234" t="str">
            <v>Não</v>
          </cell>
          <cell r="O234" t="str">
            <v>Não</v>
          </cell>
          <cell r="P234" t="str">
            <v>Sim</v>
          </cell>
          <cell r="Q234" t="str">
            <v>I</v>
          </cell>
          <cell r="R234"/>
          <cell r="S234" t="str">
            <v>Similar</v>
          </cell>
          <cell r="T234" t="str">
            <v>Monitorado</v>
          </cell>
          <cell r="U234"/>
          <cell r="V234" t="str">
            <v>55-03-8</v>
          </cell>
          <cell r="W234"/>
          <cell r="X234"/>
          <cell r="Y234" t="str">
            <v>MCG</v>
          </cell>
          <cell r="Z234">
            <v>5295</v>
          </cell>
          <cell r="AA234" t="str">
            <v>297 - PREPARAÇÕES PARA TIREOIDE</v>
          </cell>
          <cell r="AB234" t="str">
            <v>N</v>
          </cell>
          <cell r="AC234" t="str">
            <v>N</v>
          </cell>
          <cell r="AD234">
            <v>0</v>
          </cell>
          <cell r="AE234" t="str">
            <v>N</v>
          </cell>
          <cell r="AF234">
            <v>0</v>
          </cell>
          <cell r="AG234">
            <v>22.76</v>
          </cell>
          <cell r="AH234">
            <v>24.13</v>
          </cell>
          <cell r="AI234">
            <v>0</v>
          </cell>
          <cell r="AJ234">
            <v>24.42</v>
          </cell>
          <cell r="AK234">
            <v>24.73</v>
          </cell>
          <cell r="AL234">
            <v>0</v>
          </cell>
          <cell r="AM234">
            <v>24.13</v>
          </cell>
          <cell r="AN234">
            <v>0</v>
          </cell>
          <cell r="AO234">
            <v>31.46</v>
          </cell>
          <cell r="AP234">
            <v>33.36</v>
          </cell>
          <cell r="AQ234">
            <v>0</v>
          </cell>
          <cell r="AR234">
            <v>33.76</v>
          </cell>
          <cell r="AS234">
            <v>34.19</v>
          </cell>
          <cell r="AT234">
            <v>0</v>
          </cell>
          <cell r="AU234">
            <v>33.36</v>
          </cell>
          <cell r="AV234">
            <v>0</v>
          </cell>
          <cell r="AW234">
            <v>23.06</v>
          </cell>
          <cell r="AX234">
            <v>24.45</v>
          </cell>
          <cell r="AY234">
            <v>24.6</v>
          </cell>
          <cell r="AZ234">
            <v>24.75</v>
          </cell>
          <cell r="BA234">
            <v>25.06</v>
          </cell>
          <cell r="BB234">
            <v>25.06</v>
          </cell>
          <cell r="BC234">
            <v>24.45</v>
          </cell>
          <cell r="BD234">
            <v>0</v>
          </cell>
          <cell r="BE234">
            <v>31.88</v>
          </cell>
          <cell r="BF234">
            <v>33.799999999999997</v>
          </cell>
          <cell r="BG234">
            <v>34.01</v>
          </cell>
          <cell r="BH234">
            <v>34.22</v>
          </cell>
          <cell r="BI234">
            <v>34.64</v>
          </cell>
          <cell r="BJ234">
            <v>35.07</v>
          </cell>
          <cell r="BK234">
            <v>33.799999999999997</v>
          </cell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</row>
        <row r="236">
          <cell r="A236"/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</row>
        <row r="237">
          <cell r="A237">
            <v>7891721014987</v>
          </cell>
          <cell r="B237">
            <v>1008902021398</v>
          </cell>
          <cell r="C237">
            <v>525404133115413</v>
          </cell>
          <cell r="D237" t="str">
            <v>EUTHYROX</v>
          </cell>
          <cell r="E237" t="str">
            <v>112 MCG COM EST BL AL/AL X 50</v>
          </cell>
          <cell r="F237" t="str">
            <v>Comprimido</v>
          </cell>
          <cell r="G237"/>
          <cell r="H237"/>
          <cell r="I237">
            <v>50</v>
          </cell>
          <cell r="J237"/>
          <cell r="K237" t="str">
            <v>Conformidade</v>
          </cell>
          <cell r="L237">
            <v>3</v>
          </cell>
          <cell r="M237" t="str">
            <v>Tarja Vermelha</v>
          </cell>
          <cell r="N237" t="str">
            <v>Não</v>
          </cell>
          <cell r="O237" t="str">
            <v>Não</v>
          </cell>
          <cell r="P237" t="str">
            <v>Não</v>
          </cell>
          <cell r="Q237" t="str">
            <v>I</v>
          </cell>
          <cell r="R237"/>
          <cell r="S237" t="str">
            <v>Similar</v>
          </cell>
          <cell r="T237" t="str">
            <v>Monitorado</v>
          </cell>
          <cell r="U237"/>
          <cell r="V237" t="str">
            <v>55-03-8</v>
          </cell>
          <cell r="W237"/>
          <cell r="X237"/>
          <cell r="Y237" t="str">
            <v>MCG</v>
          </cell>
          <cell r="Z237">
            <v>5295</v>
          </cell>
          <cell r="AA237" t="str">
            <v>297 - PREPARAÇÕES PARA TIREOIDE</v>
          </cell>
          <cell r="AB237" t="str">
            <v>N</v>
          </cell>
          <cell r="AC237" t="str">
            <v>N</v>
          </cell>
          <cell r="AD237">
            <v>0</v>
          </cell>
          <cell r="AE237" t="str">
            <v>N</v>
          </cell>
          <cell r="AF237">
            <v>0</v>
          </cell>
          <cell r="AG237">
            <v>25.66</v>
          </cell>
          <cell r="AH237">
            <v>27.21</v>
          </cell>
          <cell r="AI237">
            <v>0</v>
          </cell>
          <cell r="AJ237">
            <v>27.54</v>
          </cell>
          <cell r="AK237">
            <v>27.88</v>
          </cell>
          <cell r="AL237">
            <v>0</v>
          </cell>
          <cell r="AM237">
            <v>27.21</v>
          </cell>
          <cell r="AN237">
            <v>0</v>
          </cell>
          <cell r="AO237">
            <v>35.47</v>
          </cell>
          <cell r="AP237">
            <v>37.619999999999997</v>
          </cell>
          <cell r="AQ237">
            <v>0</v>
          </cell>
          <cell r="AR237">
            <v>38.07</v>
          </cell>
          <cell r="AS237">
            <v>38.54</v>
          </cell>
          <cell r="AT237">
            <v>0</v>
          </cell>
          <cell r="AU237">
            <v>37.619999999999997</v>
          </cell>
          <cell r="AV237">
            <v>0</v>
          </cell>
          <cell r="AW237">
            <v>26.01</v>
          </cell>
          <cell r="AX237">
            <v>27.58</v>
          </cell>
          <cell r="AY237">
            <v>27.74</v>
          </cell>
          <cell r="AZ237">
            <v>27.91</v>
          </cell>
          <cell r="BA237">
            <v>28.26</v>
          </cell>
          <cell r="BB237">
            <v>28.26</v>
          </cell>
          <cell r="BC237">
            <v>27.58</v>
          </cell>
          <cell r="BD237">
            <v>0</v>
          </cell>
          <cell r="BE237">
            <v>35.96</v>
          </cell>
          <cell r="BF237">
            <v>38.130000000000003</v>
          </cell>
          <cell r="BG237">
            <v>38.35</v>
          </cell>
          <cell r="BH237">
            <v>38.590000000000003</v>
          </cell>
          <cell r="BI237">
            <v>39.07</v>
          </cell>
          <cell r="BJ237">
            <v>39.549999999999997</v>
          </cell>
          <cell r="BK237">
            <v>38.130000000000003</v>
          </cell>
        </row>
        <row r="238">
          <cell r="A238"/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/>
          <cell r="BG238"/>
          <cell r="BH238"/>
          <cell r="BI238"/>
          <cell r="BJ238"/>
          <cell r="BK238"/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/>
          <cell r="BG239"/>
          <cell r="BH239"/>
          <cell r="BI239"/>
          <cell r="BJ239"/>
          <cell r="BK239"/>
        </row>
        <row r="240">
          <cell r="A240">
            <v>7891721014086</v>
          </cell>
          <cell r="B240">
            <v>1008902020731</v>
          </cell>
          <cell r="C240">
            <v>525404126119417</v>
          </cell>
          <cell r="D240" t="str">
            <v>EUTHYROX</v>
          </cell>
          <cell r="E240" t="str">
            <v>125 MCG COM EST BL AL AL X 50</v>
          </cell>
          <cell r="F240" t="str">
            <v>Comprimido</v>
          </cell>
          <cell r="G240"/>
          <cell r="H240"/>
          <cell r="I240">
            <v>50</v>
          </cell>
          <cell r="J240"/>
          <cell r="K240" t="str">
            <v>Conformidade</v>
          </cell>
          <cell r="L240">
            <v>3</v>
          </cell>
          <cell r="M240" t="str">
            <v>Tarja Vermelha</v>
          </cell>
          <cell r="N240" t="str">
            <v>Não</v>
          </cell>
          <cell r="O240" t="str">
            <v>Não</v>
          </cell>
          <cell r="P240" t="str">
            <v>Não</v>
          </cell>
          <cell r="Q240" t="str">
            <v>I</v>
          </cell>
          <cell r="R240"/>
          <cell r="S240" t="str">
            <v>Similar</v>
          </cell>
          <cell r="T240" t="str">
            <v>Monitorado</v>
          </cell>
          <cell r="U240"/>
          <cell r="V240" t="str">
            <v>55-03-8</v>
          </cell>
          <cell r="W240"/>
          <cell r="X240"/>
          <cell r="Y240" t="str">
            <v>MCG</v>
          </cell>
          <cell r="Z240">
            <v>5295</v>
          </cell>
          <cell r="AA240" t="str">
            <v>297 - PREPARAÇÕES PARA TIREOIDE</v>
          </cell>
          <cell r="AB240" t="str">
            <v>N</v>
          </cell>
          <cell r="AC240" t="str">
            <v>N</v>
          </cell>
          <cell r="AD240">
            <v>0</v>
          </cell>
          <cell r="AE240" t="str">
            <v>N</v>
          </cell>
          <cell r="AF240">
            <v>0</v>
          </cell>
          <cell r="AG240">
            <v>25.45</v>
          </cell>
          <cell r="AH240">
            <v>26.99</v>
          </cell>
          <cell r="AI240">
            <v>0</v>
          </cell>
          <cell r="AJ240">
            <v>27.32</v>
          </cell>
          <cell r="AK240">
            <v>27.65</v>
          </cell>
          <cell r="AL240">
            <v>0</v>
          </cell>
          <cell r="AM240">
            <v>26.99</v>
          </cell>
          <cell r="AN240">
            <v>0</v>
          </cell>
          <cell r="AO240">
            <v>35.18</v>
          </cell>
          <cell r="AP240">
            <v>37.31</v>
          </cell>
          <cell r="AQ240">
            <v>0</v>
          </cell>
          <cell r="AR240">
            <v>37.76</v>
          </cell>
          <cell r="AS240">
            <v>38.22</v>
          </cell>
          <cell r="AT240">
            <v>0</v>
          </cell>
          <cell r="AU240">
            <v>37.31</v>
          </cell>
          <cell r="AV240">
            <v>0</v>
          </cell>
          <cell r="AW240">
            <v>25.8</v>
          </cell>
          <cell r="AX240">
            <v>27.36</v>
          </cell>
          <cell r="AY240">
            <v>27.52</v>
          </cell>
          <cell r="AZ240">
            <v>27.69</v>
          </cell>
          <cell r="BA240">
            <v>28.03</v>
          </cell>
          <cell r="BB240">
            <v>28.03</v>
          </cell>
          <cell r="BC240">
            <v>27.36</v>
          </cell>
          <cell r="BD240">
            <v>0</v>
          </cell>
          <cell r="BE240">
            <v>35.67</v>
          </cell>
          <cell r="BF240">
            <v>37.82</v>
          </cell>
          <cell r="BG240">
            <v>38.04</v>
          </cell>
          <cell r="BH240">
            <v>38.28</v>
          </cell>
          <cell r="BI240">
            <v>38.75</v>
          </cell>
          <cell r="BJ240">
            <v>39.229999999999997</v>
          </cell>
          <cell r="BK240">
            <v>37.82</v>
          </cell>
        </row>
        <row r="241">
          <cell r="A241"/>
          <cell r="B241"/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</row>
        <row r="242">
          <cell r="A242"/>
          <cell r="B242"/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/>
          <cell r="BG242"/>
          <cell r="BH242"/>
          <cell r="BI242"/>
          <cell r="BJ242"/>
          <cell r="BK242"/>
        </row>
        <row r="243">
          <cell r="A243">
            <v>7891721015007</v>
          </cell>
          <cell r="B243">
            <v>1008903590035</v>
          </cell>
          <cell r="C243">
            <v>525404135118312</v>
          </cell>
          <cell r="D243" t="str">
            <v>EUTHYROX</v>
          </cell>
          <cell r="E243" t="str">
            <v>137 MCG COM EST BL AL AL X 50</v>
          </cell>
          <cell r="F243" t="str">
            <v>Comprimido</v>
          </cell>
          <cell r="G243"/>
          <cell r="H243"/>
          <cell r="I243">
            <v>50</v>
          </cell>
          <cell r="J243"/>
          <cell r="K243" t="str">
            <v>Conformidade</v>
          </cell>
          <cell r="L243">
            <v>3</v>
          </cell>
          <cell r="M243" t="str">
            <v>Tarja Vermelha</v>
          </cell>
          <cell r="N243" t="str">
            <v>Não</v>
          </cell>
          <cell r="O243" t="str">
            <v>Não</v>
          </cell>
          <cell r="P243" t="str">
            <v>Não</v>
          </cell>
          <cell r="Q243" t="str">
            <v>I</v>
          </cell>
          <cell r="R243"/>
          <cell r="S243" t="str">
            <v>Similar</v>
          </cell>
          <cell r="T243" t="str">
            <v>Monitorado</v>
          </cell>
          <cell r="U243"/>
          <cell r="V243" t="str">
            <v>55-03-8</v>
          </cell>
          <cell r="W243"/>
          <cell r="X243"/>
          <cell r="Y243" t="str">
            <v>MCG</v>
          </cell>
          <cell r="Z243">
            <v>5295</v>
          </cell>
          <cell r="AA243" t="str">
            <v>297 - PREPARAÇÕES PARA TIREOIDE</v>
          </cell>
          <cell r="AB243" t="str">
            <v>N</v>
          </cell>
          <cell r="AC243" t="str">
            <v>N</v>
          </cell>
          <cell r="AD243">
            <v>0</v>
          </cell>
          <cell r="AE243" t="str">
            <v>N</v>
          </cell>
          <cell r="AF243">
            <v>0</v>
          </cell>
          <cell r="AG243">
            <v>27.08</v>
          </cell>
          <cell r="AH243">
            <v>28.71</v>
          </cell>
          <cell r="AI243">
            <v>0</v>
          </cell>
          <cell r="AJ243">
            <v>29.06</v>
          </cell>
          <cell r="AK243">
            <v>29.42</v>
          </cell>
          <cell r="AL243">
            <v>0</v>
          </cell>
          <cell r="AM243">
            <v>28.71</v>
          </cell>
          <cell r="AN243">
            <v>0</v>
          </cell>
          <cell r="AO243">
            <v>37.44</v>
          </cell>
          <cell r="AP243">
            <v>39.69</v>
          </cell>
          <cell r="AQ243">
            <v>0</v>
          </cell>
          <cell r="AR243">
            <v>40.17</v>
          </cell>
          <cell r="AS243">
            <v>40.67</v>
          </cell>
          <cell r="AT243">
            <v>0</v>
          </cell>
          <cell r="AU243">
            <v>39.69</v>
          </cell>
          <cell r="AV243">
            <v>0</v>
          </cell>
          <cell r="AW243">
            <v>27.45</v>
          </cell>
          <cell r="AX243">
            <v>29.1</v>
          </cell>
          <cell r="AY243">
            <v>29.28</v>
          </cell>
          <cell r="AZ243">
            <v>29.46</v>
          </cell>
          <cell r="BA243">
            <v>29.82</v>
          </cell>
          <cell r="BB243">
            <v>29.82</v>
          </cell>
          <cell r="BC243">
            <v>29.1</v>
          </cell>
          <cell r="BD243">
            <v>0</v>
          </cell>
          <cell r="BE243">
            <v>37.950000000000003</v>
          </cell>
          <cell r="BF243">
            <v>40.229999999999997</v>
          </cell>
          <cell r="BG243">
            <v>40.479999999999997</v>
          </cell>
          <cell r="BH243">
            <v>40.72</v>
          </cell>
          <cell r="BI243">
            <v>41.22</v>
          </cell>
          <cell r="BJ243">
            <v>41.74</v>
          </cell>
          <cell r="BK243">
            <v>40.229999999999997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/>
          <cell r="BG244"/>
          <cell r="BH244"/>
          <cell r="BI244"/>
          <cell r="BJ244"/>
          <cell r="BK244"/>
        </row>
        <row r="245">
          <cell r="A245">
            <v>7891721014130</v>
          </cell>
          <cell r="B245">
            <v>1008902020766</v>
          </cell>
          <cell r="C245">
            <v>525404127115415</v>
          </cell>
          <cell r="D245" t="str">
            <v>EUTHYROX</v>
          </cell>
          <cell r="E245" t="str">
            <v>150 MCG COM EST BL AL AL X 50</v>
          </cell>
          <cell r="F245" t="str">
            <v>Comprimido</v>
          </cell>
          <cell r="G245"/>
          <cell r="H245"/>
          <cell r="I245">
            <v>50</v>
          </cell>
          <cell r="J245"/>
          <cell r="K245" t="str">
            <v>Conformidade</v>
          </cell>
          <cell r="L245">
            <v>3</v>
          </cell>
          <cell r="M245" t="str">
            <v>Tarja Vermelha</v>
          </cell>
          <cell r="N245" t="str">
            <v>Não</v>
          </cell>
          <cell r="O245" t="str">
            <v>Não</v>
          </cell>
          <cell r="P245" t="str">
            <v>Sim</v>
          </cell>
          <cell r="Q245" t="str">
            <v>I</v>
          </cell>
          <cell r="R245"/>
          <cell r="S245" t="str">
            <v>Similar</v>
          </cell>
          <cell r="T245" t="str">
            <v>Monitorado</v>
          </cell>
          <cell r="U245"/>
          <cell r="V245" t="str">
            <v>55-03-8</v>
          </cell>
          <cell r="W245"/>
          <cell r="X245"/>
          <cell r="Y245" t="str">
            <v>MCG</v>
          </cell>
          <cell r="Z245">
            <v>5295</v>
          </cell>
          <cell r="AA245" t="str">
            <v>297 - PREPARAÇÕES PARA TIREOIDE</v>
          </cell>
          <cell r="AB245" t="str">
            <v>N</v>
          </cell>
          <cell r="AC245" t="str">
            <v>N</v>
          </cell>
          <cell r="AD245">
            <v>0</v>
          </cell>
          <cell r="AE245" t="str">
            <v>N</v>
          </cell>
          <cell r="AF245">
            <v>0</v>
          </cell>
          <cell r="AG245">
            <v>27.3</v>
          </cell>
          <cell r="AH245">
            <v>28.94</v>
          </cell>
          <cell r="AI245">
            <v>0</v>
          </cell>
          <cell r="AJ245">
            <v>29.3</v>
          </cell>
          <cell r="AK245">
            <v>29.66</v>
          </cell>
          <cell r="AL245">
            <v>0</v>
          </cell>
          <cell r="AM245">
            <v>28.94</v>
          </cell>
          <cell r="AN245">
            <v>0</v>
          </cell>
          <cell r="AO245">
            <v>37.74</v>
          </cell>
          <cell r="AP245">
            <v>40.01</v>
          </cell>
          <cell r="AQ245">
            <v>0</v>
          </cell>
          <cell r="AR245">
            <v>40.5</v>
          </cell>
          <cell r="AS245">
            <v>41</v>
          </cell>
          <cell r="AT245">
            <v>0</v>
          </cell>
          <cell r="AU245">
            <v>40.01</v>
          </cell>
          <cell r="AV245">
            <v>0</v>
          </cell>
          <cell r="AW245">
            <v>27.67</v>
          </cell>
          <cell r="AX245">
            <v>29.34</v>
          </cell>
          <cell r="AY245">
            <v>29.52</v>
          </cell>
          <cell r="AZ245">
            <v>29.7</v>
          </cell>
          <cell r="BA245">
            <v>30.06</v>
          </cell>
          <cell r="BB245">
            <v>30.06</v>
          </cell>
          <cell r="BC245">
            <v>29.34</v>
          </cell>
          <cell r="BD245">
            <v>0</v>
          </cell>
          <cell r="BE245">
            <v>38.25</v>
          </cell>
          <cell r="BF245">
            <v>40.56</v>
          </cell>
          <cell r="BG245">
            <v>40.81</v>
          </cell>
          <cell r="BH245">
            <v>41.06</v>
          </cell>
          <cell r="BI245">
            <v>41.56</v>
          </cell>
          <cell r="BJ245">
            <v>42.08</v>
          </cell>
          <cell r="BK245">
            <v>40.56</v>
          </cell>
        </row>
        <row r="246">
          <cell r="A246"/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/>
          <cell r="BG246"/>
          <cell r="BH246"/>
          <cell r="BI246"/>
          <cell r="BJ246"/>
          <cell r="BK246"/>
        </row>
        <row r="247">
          <cell r="A247"/>
          <cell r="B247"/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/>
          <cell r="BG247"/>
          <cell r="BH247"/>
          <cell r="BI247"/>
          <cell r="BJ247"/>
          <cell r="BK247"/>
        </row>
        <row r="248">
          <cell r="A248">
            <v>7891721014185</v>
          </cell>
          <cell r="B248">
            <v>1008902020790</v>
          </cell>
          <cell r="C248">
            <v>525404128111413</v>
          </cell>
          <cell r="D248" t="str">
            <v>EUTHYROX</v>
          </cell>
          <cell r="E248" t="str">
            <v>175 MCG COM EST CART BL AL AL X 50</v>
          </cell>
          <cell r="F248" t="str">
            <v>Comprimido</v>
          </cell>
          <cell r="G248"/>
          <cell r="H248"/>
          <cell r="I248">
            <v>50</v>
          </cell>
          <cell r="J248"/>
          <cell r="K248" t="str">
            <v>Conformidade</v>
          </cell>
          <cell r="L248">
            <v>3</v>
          </cell>
          <cell r="M248" t="str">
            <v>Tarja Vermelha</v>
          </cell>
          <cell r="N248" t="str">
            <v>Não</v>
          </cell>
          <cell r="O248" t="str">
            <v>Não</v>
          </cell>
          <cell r="P248" t="str">
            <v>Não</v>
          </cell>
          <cell r="Q248" t="str">
            <v>I</v>
          </cell>
          <cell r="R248"/>
          <cell r="S248" t="str">
            <v>Similar</v>
          </cell>
          <cell r="T248" t="str">
            <v>Monitorado</v>
          </cell>
          <cell r="U248"/>
          <cell r="V248" t="str">
            <v>55-03-8</v>
          </cell>
          <cell r="W248"/>
          <cell r="X248"/>
          <cell r="Y248" t="str">
            <v>MCG</v>
          </cell>
          <cell r="Z248">
            <v>5295</v>
          </cell>
          <cell r="AA248" t="str">
            <v>297 - PREPARAÇÕES PARA TIREOIDE</v>
          </cell>
          <cell r="AB248" t="str">
            <v>N</v>
          </cell>
          <cell r="AC248" t="str">
            <v>N</v>
          </cell>
          <cell r="AD248">
            <v>0</v>
          </cell>
          <cell r="AE248" t="str">
            <v>N</v>
          </cell>
          <cell r="AF248">
            <v>0</v>
          </cell>
          <cell r="AG248">
            <v>30.7</v>
          </cell>
          <cell r="AH248">
            <v>32.549999999999997</v>
          </cell>
          <cell r="AI248">
            <v>0</v>
          </cell>
          <cell r="AJ248">
            <v>32.950000000000003</v>
          </cell>
          <cell r="AK248">
            <v>33.36</v>
          </cell>
          <cell r="AL248">
            <v>0</v>
          </cell>
          <cell r="AM248">
            <v>32.549999999999997</v>
          </cell>
          <cell r="AN248">
            <v>0</v>
          </cell>
          <cell r="AO248">
            <v>42.44</v>
          </cell>
          <cell r="AP248">
            <v>45</v>
          </cell>
          <cell r="AQ248">
            <v>0</v>
          </cell>
          <cell r="AR248">
            <v>45.55</v>
          </cell>
          <cell r="AS248">
            <v>46.12</v>
          </cell>
          <cell r="AT248">
            <v>0</v>
          </cell>
          <cell r="AU248">
            <v>45</v>
          </cell>
          <cell r="AV248">
            <v>0</v>
          </cell>
          <cell r="AW248">
            <v>31.12</v>
          </cell>
          <cell r="AX248">
            <v>33</v>
          </cell>
          <cell r="AY248">
            <v>33.200000000000003</v>
          </cell>
          <cell r="AZ248">
            <v>33.4</v>
          </cell>
          <cell r="BA248">
            <v>33.81</v>
          </cell>
          <cell r="BB248">
            <v>33.81</v>
          </cell>
          <cell r="BC248">
            <v>33</v>
          </cell>
          <cell r="BD248">
            <v>0</v>
          </cell>
          <cell r="BE248">
            <v>43.02</v>
          </cell>
          <cell r="BF248">
            <v>45.62</v>
          </cell>
          <cell r="BG248">
            <v>45.9</v>
          </cell>
          <cell r="BH248">
            <v>46.17</v>
          </cell>
          <cell r="BI248">
            <v>46.74</v>
          </cell>
          <cell r="BJ248">
            <v>47.32</v>
          </cell>
          <cell r="BK248">
            <v>45.62</v>
          </cell>
        </row>
        <row r="249">
          <cell r="A249"/>
          <cell r="B249"/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  <cell r="BJ249"/>
          <cell r="BK249"/>
        </row>
        <row r="250">
          <cell r="A250">
            <v>7891721014796</v>
          </cell>
          <cell r="B250">
            <v>1008902020820</v>
          </cell>
          <cell r="C250">
            <v>525404129118411</v>
          </cell>
          <cell r="D250" t="str">
            <v>EUTHYROX</v>
          </cell>
          <cell r="E250" t="str">
            <v>200 MCG COM EST CART BL AL AL X 50</v>
          </cell>
          <cell r="F250" t="str">
            <v>Comprimido</v>
          </cell>
          <cell r="G250"/>
          <cell r="H250"/>
          <cell r="I250">
            <v>50</v>
          </cell>
          <cell r="J250"/>
          <cell r="K250" t="str">
            <v>Conformidade</v>
          </cell>
          <cell r="L250">
            <v>3</v>
          </cell>
          <cell r="M250" t="str">
            <v>Tarja Vermelha</v>
          </cell>
          <cell r="N250" t="str">
            <v>Não</v>
          </cell>
          <cell r="O250" t="str">
            <v>Não</v>
          </cell>
          <cell r="P250" t="str">
            <v>Não</v>
          </cell>
          <cell r="Q250" t="str">
            <v>I</v>
          </cell>
          <cell r="R250"/>
          <cell r="S250" t="str">
            <v>Similar</v>
          </cell>
          <cell r="T250" t="str">
            <v>Monitorado</v>
          </cell>
          <cell r="U250"/>
          <cell r="V250" t="str">
            <v>55-03-8</v>
          </cell>
          <cell r="W250"/>
          <cell r="X250"/>
          <cell r="Y250" t="str">
            <v>MCG</v>
          </cell>
          <cell r="Z250">
            <v>5295</v>
          </cell>
          <cell r="AA250" t="str">
            <v>297 - PREPARAÇÕES PARA TIREOIDE</v>
          </cell>
          <cell r="AB250" t="str">
            <v>N</v>
          </cell>
          <cell r="AC250" t="str">
            <v>N</v>
          </cell>
          <cell r="AD250">
            <v>0</v>
          </cell>
          <cell r="AE250" t="str">
            <v>N</v>
          </cell>
          <cell r="AF250">
            <v>0</v>
          </cell>
          <cell r="AG250">
            <v>33.799999999999997</v>
          </cell>
          <cell r="AH250">
            <v>35.83</v>
          </cell>
          <cell r="AI250">
            <v>0</v>
          </cell>
          <cell r="AJ250">
            <v>36.270000000000003</v>
          </cell>
          <cell r="AK250">
            <v>36.72</v>
          </cell>
          <cell r="AL250">
            <v>0</v>
          </cell>
          <cell r="AM250">
            <v>35.83</v>
          </cell>
          <cell r="AN250">
            <v>0</v>
          </cell>
          <cell r="AO250">
            <v>46.73</v>
          </cell>
          <cell r="AP250">
            <v>49.53</v>
          </cell>
          <cell r="AQ250">
            <v>0</v>
          </cell>
          <cell r="AR250">
            <v>50.14</v>
          </cell>
          <cell r="AS250">
            <v>50.76</v>
          </cell>
          <cell r="AT250">
            <v>0</v>
          </cell>
          <cell r="AU250">
            <v>49.53</v>
          </cell>
          <cell r="AV250">
            <v>0</v>
          </cell>
          <cell r="AW250">
            <v>34.26</v>
          </cell>
          <cell r="AX250">
            <v>36.32</v>
          </cell>
          <cell r="AY250">
            <v>36.54</v>
          </cell>
          <cell r="AZ250">
            <v>36.76</v>
          </cell>
          <cell r="BA250">
            <v>37.22</v>
          </cell>
          <cell r="BB250">
            <v>37.22</v>
          </cell>
          <cell r="BC250">
            <v>36.32</v>
          </cell>
          <cell r="BD250">
            <v>0</v>
          </cell>
          <cell r="BE250">
            <v>47.36</v>
          </cell>
          <cell r="BF250">
            <v>50.21</v>
          </cell>
          <cell r="BG250">
            <v>50.51</v>
          </cell>
          <cell r="BH250">
            <v>50.82</v>
          </cell>
          <cell r="BI250">
            <v>51.45</v>
          </cell>
          <cell r="BJ250">
            <v>52.09</v>
          </cell>
          <cell r="BK250">
            <v>50.21</v>
          </cell>
        </row>
        <row r="251">
          <cell r="A251"/>
          <cell r="B251"/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  <cell r="AM251"/>
          <cell r="AN251"/>
          <cell r="AO251"/>
          <cell r="AP251"/>
          <cell r="AQ251"/>
          <cell r="AR251"/>
          <cell r="AS251"/>
          <cell r="AT251"/>
          <cell r="AU251"/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/>
          <cell r="BG251"/>
          <cell r="BH251"/>
          <cell r="BI251"/>
          <cell r="BJ251"/>
          <cell r="BK251"/>
        </row>
        <row r="252">
          <cell r="A252"/>
          <cell r="B252"/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  <cell r="AM252"/>
          <cell r="AN252"/>
          <cell r="AO252"/>
          <cell r="AP252"/>
          <cell r="AQ252"/>
          <cell r="AR252"/>
          <cell r="AS252"/>
          <cell r="AT252"/>
          <cell r="AU252"/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/>
          <cell r="BG252"/>
          <cell r="BH252"/>
          <cell r="BI252"/>
          <cell r="BJ252"/>
          <cell r="BK252"/>
        </row>
        <row r="253">
          <cell r="A253">
            <v>7891721014642</v>
          </cell>
          <cell r="B253">
            <v>1008902020618</v>
          </cell>
          <cell r="C253">
            <v>525404130116419</v>
          </cell>
          <cell r="D253" t="str">
            <v>EUTHYROX</v>
          </cell>
          <cell r="E253" t="str">
            <v>25 MCG EST BL AL AL X 50  </v>
          </cell>
          <cell r="F253" t="str">
            <v>Comprimido</v>
          </cell>
          <cell r="G253"/>
          <cell r="H253"/>
          <cell r="I253">
            <v>50</v>
          </cell>
          <cell r="J253"/>
          <cell r="K253" t="str">
            <v>Conformidade</v>
          </cell>
          <cell r="L253">
            <v>3</v>
          </cell>
          <cell r="M253" t="str">
            <v>Tarja Vermelha</v>
          </cell>
          <cell r="N253" t="str">
            <v>Não</v>
          </cell>
          <cell r="O253" t="str">
            <v>Não</v>
          </cell>
          <cell r="P253" t="str">
            <v>Sim</v>
          </cell>
          <cell r="Q253" t="str">
            <v>I</v>
          </cell>
          <cell r="R253"/>
          <cell r="S253" t="str">
            <v>Similar</v>
          </cell>
          <cell r="T253" t="str">
            <v>Monitorado</v>
          </cell>
          <cell r="U253"/>
          <cell r="V253" t="str">
            <v>55-03-8</v>
          </cell>
          <cell r="W253"/>
          <cell r="X253"/>
          <cell r="Y253" t="str">
            <v>MCG</v>
          </cell>
          <cell r="Z253">
            <v>5295</v>
          </cell>
          <cell r="AA253" t="str">
            <v>297 - PREPARAÇÕES PARA TIREOIDE</v>
          </cell>
          <cell r="AB253" t="str">
            <v>N</v>
          </cell>
          <cell r="AC253" t="str">
            <v>N</v>
          </cell>
          <cell r="AD253">
            <v>0</v>
          </cell>
          <cell r="AE253" t="str">
            <v>N</v>
          </cell>
          <cell r="AF253">
            <v>0</v>
          </cell>
          <cell r="AG253">
            <v>17.41</v>
          </cell>
          <cell r="AH253">
            <v>18.46</v>
          </cell>
          <cell r="AI253">
            <v>0</v>
          </cell>
          <cell r="AJ253">
            <v>18.690000000000001</v>
          </cell>
          <cell r="AK253">
            <v>18.920000000000002</v>
          </cell>
          <cell r="AL253">
            <v>0</v>
          </cell>
          <cell r="AM253">
            <v>18.46</v>
          </cell>
          <cell r="AN253">
            <v>0</v>
          </cell>
          <cell r="AO253">
            <v>24.07</v>
          </cell>
          <cell r="AP253">
            <v>25.52</v>
          </cell>
          <cell r="AQ253">
            <v>0</v>
          </cell>
          <cell r="AR253">
            <v>25.83</v>
          </cell>
          <cell r="AS253">
            <v>26.16</v>
          </cell>
          <cell r="AT253">
            <v>0</v>
          </cell>
          <cell r="AU253">
            <v>25.52</v>
          </cell>
          <cell r="AV253">
            <v>0</v>
          </cell>
          <cell r="AW253">
            <v>17.649999999999999</v>
          </cell>
          <cell r="AX253">
            <v>18.72</v>
          </cell>
          <cell r="AY253">
            <v>18.829999999999998</v>
          </cell>
          <cell r="AZ253">
            <v>18.940000000000001</v>
          </cell>
          <cell r="BA253">
            <v>19.18</v>
          </cell>
          <cell r="BB253">
            <v>19.18</v>
          </cell>
          <cell r="BC253">
            <v>18.72</v>
          </cell>
          <cell r="BD253">
            <v>0</v>
          </cell>
          <cell r="BE253">
            <v>24.4</v>
          </cell>
          <cell r="BF253">
            <v>25.88</v>
          </cell>
          <cell r="BG253">
            <v>26.03</v>
          </cell>
          <cell r="BH253">
            <v>26.19</v>
          </cell>
          <cell r="BI253">
            <v>26.52</v>
          </cell>
          <cell r="BJ253">
            <v>26.85</v>
          </cell>
          <cell r="BK253">
            <v>25.88</v>
          </cell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/>
          <cell r="BG254"/>
          <cell r="BH254"/>
          <cell r="BI254"/>
          <cell r="BJ254"/>
          <cell r="BK254"/>
        </row>
        <row r="255">
          <cell r="A255"/>
          <cell r="B255"/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/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/>
          <cell r="BG255"/>
          <cell r="BH255"/>
          <cell r="BI255"/>
          <cell r="BJ255"/>
          <cell r="BK255"/>
        </row>
        <row r="256">
          <cell r="A256">
            <v>7891721014697</v>
          </cell>
          <cell r="B256">
            <v>1008902020642</v>
          </cell>
          <cell r="C256">
            <v>525404131112417</v>
          </cell>
          <cell r="D256" t="str">
            <v>EUTHYROX</v>
          </cell>
          <cell r="E256" t="str">
            <v>50 MCG COM EST BL AL AL X 50</v>
          </cell>
          <cell r="F256" t="str">
            <v>Comprimido</v>
          </cell>
          <cell r="G256"/>
          <cell r="H256"/>
          <cell r="I256">
            <v>50</v>
          </cell>
          <cell r="J256"/>
          <cell r="K256" t="str">
            <v>Conformidade</v>
          </cell>
          <cell r="L256">
            <v>3</v>
          </cell>
          <cell r="M256" t="str">
            <v>Tarja Vermelha</v>
          </cell>
          <cell r="N256" t="str">
            <v>Não</v>
          </cell>
          <cell r="O256" t="str">
            <v>Não</v>
          </cell>
          <cell r="P256" t="str">
            <v>Sim</v>
          </cell>
          <cell r="Q256" t="str">
            <v>I</v>
          </cell>
          <cell r="R256"/>
          <cell r="S256" t="str">
            <v>Similar</v>
          </cell>
          <cell r="T256" t="str">
            <v>Monitorado</v>
          </cell>
          <cell r="U256"/>
          <cell r="V256" t="str">
            <v>55-03-8</v>
          </cell>
          <cell r="W256"/>
          <cell r="X256"/>
          <cell r="Y256" t="str">
            <v>MCG</v>
          </cell>
          <cell r="Z256">
            <v>5295</v>
          </cell>
          <cell r="AA256" t="str">
            <v>297 - PREPARAÇÕES PARA TIREOIDE</v>
          </cell>
          <cell r="AB256" t="str">
            <v>N</v>
          </cell>
          <cell r="AC256" t="str">
            <v>N</v>
          </cell>
          <cell r="AD256">
            <v>0</v>
          </cell>
          <cell r="AE256" t="str">
            <v>N</v>
          </cell>
          <cell r="AF256">
            <v>0</v>
          </cell>
          <cell r="AG256">
            <v>19.95</v>
          </cell>
          <cell r="AH256">
            <v>21.15</v>
          </cell>
          <cell r="AI256">
            <v>0</v>
          </cell>
          <cell r="AJ256">
            <v>21.41</v>
          </cell>
          <cell r="AK256">
            <v>21.67</v>
          </cell>
          <cell r="AL256">
            <v>0</v>
          </cell>
          <cell r="AM256">
            <v>21.15</v>
          </cell>
          <cell r="AN256">
            <v>0</v>
          </cell>
          <cell r="AO256">
            <v>27.58</v>
          </cell>
          <cell r="AP256">
            <v>29.24</v>
          </cell>
          <cell r="AQ256">
            <v>0</v>
          </cell>
          <cell r="AR256">
            <v>29.6</v>
          </cell>
          <cell r="AS256">
            <v>29.96</v>
          </cell>
          <cell r="AT256">
            <v>0</v>
          </cell>
          <cell r="AU256">
            <v>29.24</v>
          </cell>
          <cell r="AV256">
            <v>0</v>
          </cell>
          <cell r="AW256">
            <v>20.22</v>
          </cell>
          <cell r="AX256">
            <v>21.44</v>
          </cell>
          <cell r="AY256">
            <v>21.57</v>
          </cell>
          <cell r="AZ256">
            <v>21.7</v>
          </cell>
          <cell r="BA256">
            <v>21.97</v>
          </cell>
          <cell r="BB256">
            <v>21.97</v>
          </cell>
          <cell r="BC256">
            <v>21.44</v>
          </cell>
          <cell r="BD256">
            <v>0</v>
          </cell>
          <cell r="BE256">
            <v>27.95</v>
          </cell>
          <cell r="BF256">
            <v>29.64</v>
          </cell>
          <cell r="BG256">
            <v>29.82</v>
          </cell>
          <cell r="BH256">
            <v>30</v>
          </cell>
          <cell r="BI256">
            <v>30.37</v>
          </cell>
          <cell r="BJ256">
            <v>30.75</v>
          </cell>
          <cell r="BK256">
            <v>29.64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  <cell r="AM257"/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/>
          <cell r="BG257"/>
          <cell r="BH257"/>
          <cell r="BI257"/>
          <cell r="BJ257"/>
          <cell r="BK257"/>
        </row>
        <row r="258">
          <cell r="A258"/>
          <cell r="B258"/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/>
          <cell r="AM258"/>
          <cell r="AN258"/>
          <cell r="AO258"/>
          <cell r="AP258"/>
          <cell r="AQ258"/>
          <cell r="AR258"/>
          <cell r="AS258"/>
          <cell r="AT258"/>
          <cell r="AU258"/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/>
          <cell r="BG258"/>
          <cell r="BH258"/>
          <cell r="BI258"/>
          <cell r="BJ258"/>
          <cell r="BK258"/>
        </row>
        <row r="259">
          <cell r="A259">
            <v>7891721014741</v>
          </cell>
          <cell r="B259">
            <v>1008902020677</v>
          </cell>
          <cell r="C259">
            <v>525404132119415</v>
          </cell>
          <cell r="D259" t="str">
            <v>EUTHYROX</v>
          </cell>
          <cell r="E259" t="str">
            <v>75 MCG COM EST BL AL AL X 50 </v>
          </cell>
          <cell r="F259" t="str">
            <v>Comprimido</v>
          </cell>
          <cell r="G259"/>
          <cell r="H259"/>
          <cell r="I259">
            <v>50</v>
          </cell>
          <cell r="J259"/>
          <cell r="K259" t="str">
            <v>Conformidade</v>
          </cell>
          <cell r="L259">
            <v>3</v>
          </cell>
          <cell r="M259" t="str">
            <v>Tarja Vermelha</v>
          </cell>
          <cell r="N259" t="str">
            <v>Não</v>
          </cell>
          <cell r="O259" t="str">
            <v>Não</v>
          </cell>
          <cell r="P259" t="str">
            <v>Não</v>
          </cell>
          <cell r="Q259" t="str">
            <v>I</v>
          </cell>
          <cell r="R259"/>
          <cell r="S259" t="str">
            <v>Similar</v>
          </cell>
          <cell r="T259" t="str">
            <v>Monitorado</v>
          </cell>
          <cell r="U259"/>
          <cell r="V259" t="str">
            <v>55-03-8</v>
          </cell>
          <cell r="W259"/>
          <cell r="X259"/>
          <cell r="Y259" t="str">
            <v>MCG</v>
          </cell>
          <cell r="Z259">
            <v>5295</v>
          </cell>
          <cell r="AA259" t="str">
            <v>297 - PREPARAÇÕES PARA TIREOIDE</v>
          </cell>
          <cell r="AB259" t="str">
            <v>N</v>
          </cell>
          <cell r="AC259" t="str">
            <v>N</v>
          </cell>
          <cell r="AD259">
            <v>0</v>
          </cell>
          <cell r="AE259" t="str">
            <v>N</v>
          </cell>
          <cell r="AF259">
            <v>0</v>
          </cell>
          <cell r="AG259">
            <v>22.02</v>
          </cell>
          <cell r="AH259">
            <v>23.35</v>
          </cell>
          <cell r="AI259">
            <v>0</v>
          </cell>
          <cell r="AJ259">
            <v>23.64</v>
          </cell>
          <cell r="AK259">
            <v>23.93</v>
          </cell>
          <cell r="AL259">
            <v>0</v>
          </cell>
          <cell r="AM259">
            <v>23.35</v>
          </cell>
          <cell r="AN259">
            <v>0</v>
          </cell>
          <cell r="AO259">
            <v>30.44</v>
          </cell>
          <cell r="AP259">
            <v>32.28</v>
          </cell>
          <cell r="AQ259">
            <v>0</v>
          </cell>
          <cell r="AR259">
            <v>32.68</v>
          </cell>
          <cell r="AS259">
            <v>33.08</v>
          </cell>
          <cell r="AT259">
            <v>0</v>
          </cell>
          <cell r="AU259">
            <v>32.28</v>
          </cell>
          <cell r="AV259">
            <v>0</v>
          </cell>
          <cell r="AW259">
            <v>22.33</v>
          </cell>
          <cell r="AX259">
            <v>23.67</v>
          </cell>
          <cell r="AY259">
            <v>23.82</v>
          </cell>
          <cell r="AZ259">
            <v>23.96</v>
          </cell>
          <cell r="BA259">
            <v>24.26</v>
          </cell>
          <cell r="BB259">
            <v>24.26</v>
          </cell>
          <cell r="BC259">
            <v>23.67</v>
          </cell>
          <cell r="BD259">
            <v>0</v>
          </cell>
          <cell r="BE259">
            <v>30.87</v>
          </cell>
          <cell r="BF259">
            <v>32.72</v>
          </cell>
          <cell r="BG259">
            <v>32.93</v>
          </cell>
          <cell r="BH259">
            <v>33.119999999999997</v>
          </cell>
          <cell r="BI259">
            <v>33.54</v>
          </cell>
          <cell r="BJ259">
            <v>33.950000000000003</v>
          </cell>
          <cell r="BK259">
            <v>32.72</v>
          </cell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/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/>
          <cell r="BG260"/>
          <cell r="BH260"/>
          <cell r="BI260"/>
          <cell r="BJ260"/>
          <cell r="BK260"/>
        </row>
        <row r="261">
          <cell r="A261">
            <v>7891721014963</v>
          </cell>
          <cell r="B261">
            <v>1008902021347</v>
          </cell>
          <cell r="C261">
            <v>525404134111411</v>
          </cell>
          <cell r="D261" t="str">
            <v>EUTHYROX</v>
          </cell>
          <cell r="E261" t="str">
            <v>88 MCG COM EST BL AL/AL X 50</v>
          </cell>
          <cell r="F261" t="str">
            <v>Comprimido</v>
          </cell>
          <cell r="G261"/>
          <cell r="H261"/>
          <cell r="I261">
            <v>50</v>
          </cell>
          <cell r="J261"/>
          <cell r="K261" t="str">
            <v>Conformidade</v>
          </cell>
          <cell r="L261">
            <v>3</v>
          </cell>
          <cell r="M261" t="str">
            <v>Tarja Vermelha</v>
          </cell>
          <cell r="N261" t="str">
            <v>Não</v>
          </cell>
          <cell r="O261" t="str">
            <v>Não</v>
          </cell>
          <cell r="P261" t="str">
            <v>Não</v>
          </cell>
          <cell r="Q261" t="str">
            <v>I</v>
          </cell>
          <cell r="R261"/>
          <cell r="S261" t="str">
            <v>Similar</v>
          </cell>
          <cell r="T261" t="str">
            <v>Monitorado</v>
          </cell>
          <cell r="U261"/>
          <cell r="V261" t="str">
            <v>55-03-8</v>
          </cell>
          <cell r="W261"/>
          <cell r="X261"/>
          <cell r="Y261" t="str">
            <v>MCG</v>
          </cell>
          <cell r="Z261">
            <v>5295</v>
          </cell>
          <cell r="AA261" t="str">
            <v>297 - PREPARAÇÕES PARA TIREOIDE</v>
          </cell>
          <cell r="AB261" t="str">
            <v>N</v>
          </cell>
          <cell r="AC261" t="str">
            <v>N</v>
          </cell>
          <cell r="AD261">
            <v>0</v>
          </cell>
          <cell r="AE261" t="str">
            <v>N</v>
          </cell>
          <cell r="AF261">
            <v>0</v>
          </cell>
          <cell r="AG261">
            <v>20.149999999999999</v>
          </cell>
          <cell r="AH261">
            <v>21.36</v>
          </cell>
          <cell r="AI261">
            <v>0</v>
          </cell>
          <cell r="AJ261">
            <v>21.62</v>
          </cell>
          <cell r="AK261">
            <v>21.89</v>
          </cell>
          <cell r="AL261">
            <v>0</v>
          </cell>
          <cell r="AM261">
            <v>21.36</v>
          </cell>
          <cell r="AN261">
            <v>0</v>
          </cell>
          <cell r="AO261">
            <v>27.86</v>
          </cell>
          <cell r="AP261">
            <v>29.53</v>
          </cell>
          <cell r="AQ261">
            <v>0</v>
          </cell>
          <cell r="AR261">
            <v>29.89</v>
          </cell>
          <cell r="AS261">
            <v>30.26</v>
          </cell>
          <cell r="AT261">
            <v>0</v>
          </cell>
          <cell r="AU261">
            <v>29.53</v>
          </cell>
          <cell r="AV261">
            <v>0</v>
          </cell>
          <cell r="AW261">
            <v>20.420000000000002</v>
          </cell>
          <cell r="AX261">
            <v>21.65</v>
          </cell>
          <cell r="AY261">
            <v>21.78</v>
          </cell>
          <cell r="AZ261">
            <v>21.91</v>
          </cell>
          <cell r="BA261">
            <v>22.18</v>
          </cell>
          <cell r="BB261">
            <v>22.18</v>
          </cell>
          <cell r="BC261">
            <v>21.65</v>
          </cell>
          <cell r="BD261">
            <v>0</v>
          </cell>
          <cell r="BE261">
            <v>28.23</v>
          </cell>
          <cell r="BF261">
            <v>29.93</v>
          </cell>
          <cell r="BG261">
            <v>30.11</v>
          </cell>
          <cell r="BH261">
            <v>30.29</v>
          </cell>
          <cell r="BI261">
            <v>30.66</v>
          </cell>
          <cell r="BJ261">
            <v>31.05</v>
          </cell>
          <cell r="BK261">
            <v>29.93</v>
          </cell>
        </row>
        <row r="262">
          <cell r="A262"/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/>
          <cell r="BG262"/>
          <cell r="BH262"/>
          <cell r="BI262"/>
          <cell r="BJ262"/>
          <cell r="BK262"/>
        </row>
        <row r="263">
          <cell r="A263"/>
          <cell r="B263"/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/>
          <cell r="BG263"/>
          <cell r="BH263"/>
          <cell r="BI263"/>
          <cell r="BJ263"/>
          <cell r="BK263"/>
        </row>
        <row r="264">
          <cell r="A264">
            <v>7891721270420</v>
          </cell>
          <cell r="B264">
            <v>1008903330051</v>
          </cell>
          <cell r="C264">
            <v>525404304114114</v>
          </cell>
          <cell r="D264" t="str">
            <v>FINASTERIDA</v>
          </cell>
          <cell r="E264" t="str">
            <v>1 MG COM REV CT BL AL PLAS INC X 60</v>
          </cell>
          <cell r="F264" t="str">
            <v>Comprimido revestido</v>
          </cell>
          <cell r="G264"/>
          <cell r="H264"/>
          <cell r="I264">
            <v>30</v>
          </cell>
          <cell r="J264"/>
          <cell r="K264" t="str">
            <v>Conformidade</v>
          </cell>
          <cell r="L264">
            <v>3</v>
          </cell>
          <cell r="M264" t="str">
            <v>Tarja Vermelha</v>
          </cell>
          <cell r="N264" t="str">
            <v>Não</v>
          </cell>
          <cell r="O264" t="str">
            <v>Não</v>
          </cell>
          <cell r="P264" t="str">
            <v>Não</v>
          </cell>
          <cell r="Q264" t="str">
            <v>N</v>
          </cell>
          <cell r="R264"/>
          <cell r="S264" t="str">
            <v>Genérico</v>
          </cell>
          <cell r="T264" t="str">
            <v>Monitorado</v>
          </cell>
          <cell r="U264"/>
          <cell r="V264" t="str">
            <v>98319-26-7</v>
          </cell>
          <cell r="W264"/>
          <cell r="X264"/>
          <cell r="Y264" t="str">
            <v>MG</v>
          </cell>
          <cell r="Z264">
            <v>4055</v>
          </cell>
          <cell r="AA264" t="str">
            <v>245 - OUTRAS PREPARAÇÕES DERMATOLOGICAS</v>
          </cell>
          <cell r="AB264" t="str">
            <v>N</v>
          </cell>
          <cell r="AC264" t="str">
            <v>N</v>
          </cell>
          <cell r="AD264">
            <v>0</v>
          </cell>
          <cell r="AE264" t="str">
            <v>N</v>
          </cell>
          <cell r="AF264">
            <v>0</v>
          </cell>
          <cell r="AG264">
            <v>71.44</v>
          </cell>
          <cell r="AH264">
            <v>76.39</v>
          </cell>
          <cell r="AI264">
            <v>0</v>
          </cell>
          <cell r="AJ264">
            <v>77.47</v>
          </cell>
          <cell r="AK264">
            <v>78.569999999999993</v>
          </cell>
          <cell r="AL264">
            <v>0</v>
          </cell>
          <cell r="AM264">
            <v>66.5</v>
          </cell>
          <cell r="AN264">
            <v>0</v>
          </cell>
          <cell r="AO264">
            <v>95.43</v>
          </cell>
          <cell r="AP264">
            <v>101.82</v>
          </cell>
          <cell r="AQ264">
            <v>0</v>
          </cell>
          <cell r="AR264">
            <v>103.21</v>
          </cell>
          <cell r="AS264">
            <v>104.63</v>
          </cell>
          <cell r="AT264">
            <v>0</v>
          </cell>
          <cell r="AU264">
            <v>91.93</v>
          </cell>
          <cell r="AV264">
            <v>0</v>
          </cell>
          <cell r="AW264">
            <v>72.41</v>
          </cell>
          <cell r="AX264">
            <v>77.430000000000007</v>
          </cell>
          <cell r="AY264">
            <v>77.97</v>
          </cell>
          <cell r="AZ264">
            <v>78.52</v>
          </cell>
          <cell r="BA264">
            <v>79.64</v>
          </cell>
          <cell r="BB264">
            <v>79.64</v>
          </cell>
          <cell r="BC264">
            <v>67.41</v>
          </cell>
          <cell r="BD264">
            <v>0</v>
          </cell>
          <cell r="BE264">
            <v>96.72</v>
          </cell>
          <cell r="BF264">
            <v>103.21</v>
          </cell>
          <cell r="BG264">
            <v>103.9</v>
          </cell>
          <cell r="BH264">
            <v>104.62</v>
          </cell>
          <cell r="BI264">
            <v>106.05</v>
          </cell>
          <cell r="BJ264">
            <v>107.55</v>
          </cell>
          <cell r="BK264">
            <v>93.19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/>
          <cell r="BG265"/>
          <cell r="BH265"/>
          <cell r="BI265"/>
          <cell r="BJ265"/>
          <cell r="BK265"/>
        </row>
        <row r="266">
          <cell r="A266"/>
          <cell r="B266"/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/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/>
          <cell r="BG266"/>
          <cell r="BH266"/>
          <cell r="BI266"/>
          <cell r="BJ266"/>
          <cell r="BK266"/>
        </row>
        <row r="267">
          <cell r="A267">
            <v>7891721270406</v>
          </cell>
          <cell r="B267">
            <v>1008903330033</v>
          </cell>
          <cell r="C267">
            <v>525404302111118</v>
          </cell>
          <cell r="D267" t="str">
            <v>FINASTERIDA</v>
          </cell>
          <cell r="E267" t="str">
            <v>1MG COM REV CT BL AL PLAS INC X 30</v>
          </cell>
          <cell r="F267" t="str">
            <v>Comprimido revestido</v>
          </cell>
          <cell r="G267"/>
          <cell r="H267"/>
          <cell r="I267">
            <v>30</v>
          </cell>
          <cell r="J267"/>
          <cell r="K267" t="str">
            <v>Conformidade</v>
          </cell>
          <cell r="L267">
            <v>3</v>
          </cell>
          <cell r="M267" t="str">
            <v>Tarja Vermelha</v>
          </cell>
          <cell r="N267" t="str">
            <v>Não</v>
          </cell>
          <cell r="O267" t="str">
            <v>Não</v>
          </cell>
          <cell r="P267" t="str">
            <v>Não</v>
          </cell>
          <cell r="Q267" t="str">
            <v>N</v>
          </cell>
          <cell r="R267"/>
          <cell r="S267" t="str">
            <v>Genérico</v>
          </cell>
          <cell r="T267" t="str">
            <v>Monitorado</v>
          </cell>
          <cell r="U267"/>
          <cell r="V267" t="str">
            <v>98319-26-7</v>
          </cell>
          <cell r="W267"/>
          <cell r="X267"/>
          <cell r="Y267" t="str">
            <v>MG</v>
          </cell>
          <cell r="Z267">
            <v>4055</v>
          </cell>
          <cell r="AA267" t="str">
            <v>245 - OUTRAS PREPARAÇÕES DERMATOLOGICAS</v>
          </cell>
          <cell r="AB267" t="str">
            <v>N</v>
          </cell>
          <cell r="AC267" t="str">
            <v>N</v>
          </cell>
          <cell r="AD267">
            <v>0</v>
          </cell>
          <cell r="AE267" t="str">
            <v>N</v>
          </cell>
          <cell r="AF267">
            <v>0</v>
          </cell>
          <cell r="AG267">
            <v>37.85</v>
          </cell>
          <cell r="AH267">
            <v>40.47</v>
          </cell>
          <cell r="AI267">
            <v>0</v>
          </cell>
          <cell r="AJ267">
            <v>41.04</v>
          </cell>
          <cell r="AK267">
            <v>41.63</v>
          </cell>
          <cell r="AL267">
            <v>0</v>
          </cell>
          <cell r="AM267">
            <v>35.229999999999997</v>
          </cell>
          <cell r="AN267">
            <v>0</v>
          </cell>
          <cell r="AO267">
            <v>50.56</v>
          </cell>
          <cell r="AP267">
            <v>53.94</v>
          </cell>
          <cell r="AQ267">
            <v>0</v>
          </cell>
          <cell r="AR267">
            <v>54.68</v>
          </cell>
          <cell r="AS267">
            <v>55.44</v>
          </cell>
          <cell r="AT267">
            <v>0</v>
          </cell>
          <cell r="AU267">
            <v>48.7</v>
          </cell>
          <cell r="AV267">
            <v>0</v>
          </cell>
          <cell r="AW267">
            <v>38.36</v>
          </cell>
          <cell r="AX267">
            <v>41.02</v>
          </cell>
          <cell r="AY267">
            <v>41.31</v>
          </cell>
          <cell r="AZ267">
            <v>41.6</v>
          </cell>
          <cell r="BA267">
            <v>42.19</v>
          </cell>
          <cell r="BB267">
            <v>42.19</v>
          </cell>
          <cell r="BC267">
            <v>35.71</v>
          </cell>
          <cell r="BD267">
            <v>0</v>
          </cell>
          <cell r="BE267">
            <v>51.24</v>
          </cell>
          <cell r="BF267">
            <v>54.68</v>
          </cell>
          <cell r="BG267">
            <v>55.05</v>
          </cell>
          <cell r="BH267">
            <v>55.42</v>
          </cell>
          <cell r="BI267">
            <v>56.18</v>
          </cell>
          <cell r="BJ267">
            <v>56.97</v>
          </cell>
          <cell r="BK267">
            <v>49.37</v>
          </cell>
        </row>
        <row r="268">
          <cell r="A268"/>
          <cell r="B268"/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/>
          <cell r="AN268"/>
          <cell r="AO268"/>
          <cell r="AP268"/>
          <cell r="AQ268"/>
          <cell r="AR268"/>
          <cell r="AS268"/>
          <cell r="AT268"/>
          <cell r="AU268"/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/>
          <cell r="BG268"/>
          <cell r="BH268"/>
          <cell r="BI268"/>
          <cell r="BJ268"/>
          <cell r="BK268"/>
        </row>
        <row r="269">
          <cell r="A269">
            <v>7891721275012</v>
          </cell>
          <cell r="B269">
            <v>1008903370019</v>
          </cell>
          <cell r="C269">
            <v>525404303118116</v>
          </cell>
          <cell r="D269" t="str">
            <v>FINASTERIDA</v>
          </cell>
          <cell r="E269" t="str">
            <v>5 MG COM REV CT BL AL PLAS INC X 30</v>
          </cell>
          <cell r="F269" t="str">
            <v>Comprimido revestido</v>
          </cell>
          <cell r="G269"/>
          <cell r="H269"/>
          <cell r="I269">
            <v>30</v>
          </cell>
          <cell r="J269"/>
          <cell r="K269" t="str">
            <v>Conformidade</v>
          </cell>
          <cell r="L269">
            <v>2</v>
          </cell>
          <cell r="M269" t="str">
            <v>Tarja Vermelha</v>
          </cell>
          <cell r="N269" t="str">
            <v>Não</v>
          </cell>
          <cell r="O269" t="str">
            <v>Não</v>
          </cell>
          <cell r="P269" t="str">
            <v>Não</v>
          </cell>
          <cell r="Q269" t="str">
            <v>I</v>
          </cell>
          <cell r="R269"/>
          <cell r="S269" t="str">
            <v>Genérico</v>
          </cell>
          <cell r="T269" t="str">
            <v>Monitorado</v>
          </cell>
          <cell r="U269"/>
          <cell r="V269" t="str">
            <v>98319-26-7</v>
          </cell>
          <cell r="W269"/>
          <cell r="X269"/>
          <cell r="Y269" t="str">
            <v>MG</v>
          </cell>
          <cell r="Z269">
            <v>4055</v>
          </cell>
          <cell r="AA269" t="str">
            <v>664 - BPH INIBIDORES DA 5-ALFA TESTOSTERONA REDUTASE (5-ARI) PUROS</v>
          </cell>
          <cell r="AB269" t="str">
            <v>N</v>
          </cell>
          <cell r="AC269" t="str">
            <v>N</v>
          </cell>
          <cell r="AD269">
            <v>0</v>
          </cell>
          <cell r="AE269" t="str">
            <v>N</v>
          </cell>
          <cell r="AF269">
            <v>0</v>
          </cell>
          <cell r="AG269">
            <v>69.709999999999994</v>
          </cell>
          <cell r="AH269">
            <v>73.91</v>
          </cell>
          <cell r="AI269">
            <v>0</v>
          </cell>
          <cell r="AJ269">
            <v>74.81</v>
          </cell>
          <cell r="AK269">
            <v>75.739999999999995</v>
          </cell>
          <cell r="AL269">
            <v>0</v>
          </cell>
          <cell r="AM269">
            <v>73.91</v>
          </cell>
          <cell r="AN269">
            <v>0</v>
          </cell>
          <cell r="AO269">
            <v>96.37</v>
          </cell>
          <cell r="AP269">
            <v>102.18</v>
          </cell>
          <cell r="AQ269">
            <v>0</v>
          </cell>
          <cell r="AR269">
            <v>103.42</v>
          </cell>
          <cell r="AS269">
            <v>104.71</v>
          </cell>
          <cell r="AT269">
            <v>0</v>
          </cell>
          <cell r="AU269">
            <v>102.18</v>
          </cell>
          <cell r="AV269">
            <v>0</v>
          </cell>
          <cell r="AW269">
            <v>71.84</v>
          </cell>
          <cell r="AX269">
            <v>76.17</v>
          </cell>
          <cell r="AY269">
            <v>76.63</v>
          </cell>
          <cell r="AZ269">
            <v>77.099999999999994</v>
          </cell>
          <cell r="BA269">
            <v>78.05</v>
          </cell>
          <cell r="BB269">
            <v>78.05</v>
          </cell>
          <cell r="BC269">
            <v>76.17</v>
          </cell>
          <cell r="BD269">
            <v>0</v>
          </cell>
          <cell r="BE269">
            <v>99.31</v>
          </cell>
          <cell r="BF269">
            <v>105.3</v>
          </cell>
          <cell r="BG269">
            <v>105.94</v>
          </cell>
          <cell r="BH269">
            <v>106.58</v>
          </cell>
          <cell r="BI269">
            <v>107.9</v>
          </cell>
          <cell r="BJ269">
            <v>109.25</v>
          </cell>
          <cell r="BK269">
            <v>105.3</v>
          </cell>
        </row>
        <row r="270">
          <cell r="A270"/>
          <cell r="B270"/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/>
          <cell r="BG270"/>
          <cell r="BH270"/>
          <cell r="BI270"/>
          <cell r="BJ270"/>
          <cell r="BK270"/>
        </row>
        <row r="271">
          <cell r="A271">
            <v>7891721023286</v>
          </cell>
          <cell r="B271">
            <v>1008902150015</v>
          </cell>
          <cell r="C271">
            <v>525404402116413</v>
          </cell>
          <cell r="D271" t="str">
            <v>FLAXIN</v>
          </cell>
          <cell r="E271" t="str">
            <v>5 MG COM REV CT BL AL PLAS INC X 15</v>
          </cell>
          <cell r="F271" t="str">
            <v>Comprimido revestido</v>
          </cell>
          <cell r="G271"/>
          <cell r="H271"/>
          <cell r="I271">
            <v>15</v>
          </cell>
          <cell r="J271"/>
          <cell r="K271" t="str">
            <v>Conformidade</v>
          </cell>
          <cell r="L271">
            <v>2</v>
          </cell>
          <cell r="M271" t="str">
            <v>Tarja Vermelha</v>
          </cell>
          <cell r="N271" t="str">
            <v>Não</v>
          </cell>
          <cell r="O271" t="str">
            <v>Não</v>
          </cell>
          <cell r="P271" t="str">
            <v>Não</v>
          </cell>
          <cell r="Q271" t="str">
            <v>I</v>
          </cell>
          <cell r="R271"/>
          <cell r="S271" t="str">
            <v>Similar</v>
          </cell>
          <cell r="T271" t="str">
            <v>Monitorado</v>
          </cell>
          <cell r="U271"/>
          <cell r="V271" t="str">
            <v>98319-26-7</v>
          </cell>
          <cell r="W271"/>
          <cell r="X271"/>
          <cell r="Y271" t="str">
            <v>MG</v>
          </cell>
          <cell r="Z271">
            <v>4055</v>
          </cell>
          <cell r="AA271" t="str">
            <v>664 - BPH INIBIDORES DA 5-ALFA TESTOSTERONA REDUTASE (5-ARI) PUROS</v>
          </cell>
          <cell r="AB271" t="str">
            <v>N</v>
          </cell>
          <cell r="AC271" t="str">
            <v>N</v>
          </cell>
          <cell r="AD271">
            <v>0</v>
          </cell>
          <cell r="AE271" t="str">
            <v>N</v>
          </cell>
          <cell r="AF271">
            <v>0</v>
          </cell>
          <cell r="AG271">
            <v>51.32</v>
          </cell>
          <cell r="AH271">
            <v>54.42</v>
          </cell>
          <cell r="AI271">
            <v>0</v>
          </cell>
          <cell r="AJ271">
            <v>55.08</v>
          </cell>
          <cell r="AK271">
            <v>55.76</v>
          </cell>
          <cell r="AL271">
            <v>0</v>
          </cell>
          <cell r="AM271">
            <v>54.42</v>
          </cell>
          <cell r="AN271">
            <v>0</v>
          </cell>
          <cell r="AO271">
            <v>70.95</v>
          </cell>
          <cell r="AP271">
            <v>75.23</v>
          </cell>
          <cell r="AQ271">
            <v>0</v>
          </cell>
          <cell r="AR271">
            <v>76.14</v>
          </cell>
          <cell r="AS271">
            <v>77.08</v>
          </cell>
          <cell r="AT271">
            <v>0</v>
          </cell>
          <cell r="AU271">
            <v>75.23</v>
          </cell>
          <cell r="AV271">
            <v>0</v>
          </cell>
          <cell r="AW271">
            <v>51.32</v>
          </cell>
          <cell r="AX271">
            <v>54.42</v>
          </cell>
          <cell r="AY271">
            <v>54.75</v>
          </cell>
          <cell r="AZ271">
            <v>55.08</v>
          </cell>
          <cell r="BA271">
            <v>55.76</v>
          </cell>
          <cell r="BB271">
            <v>55.76</v>
          </cell>
          <cell r="BC271">
            <v>54.42</v>
          </cell>
          <cell r="BD271">
            <v>0</v>
          </cell>
          <cell r="BE271">
            <v>70.95</v>
          </cell>
          <cell r="BF271">
            <v>75.23</v>
          </cell>
          <cell r="BG271">
            <v>75.69</v>
          </cell>
          <cell r="BH271">
            <v>76.14</v>
          </cell>
          <cell r="BI271">
            <v>77.08</v>
          </cell>
          <cell r="BJ271">
            <v>78.05</v>
          </cell>
          <cell r="BK271">
            <v>75.23</v>
          </cell>
        </row>
        <row r="272">
          <cell r="A272">
            <v>7891721000911</v>
          </cell>
          <cell r="B272">
            <v>1008902150023</v>
          </cell>
          <cell r="C272">
            <v>525404401111418</v>
          </cell>
          <cell r="D272" t="str">
            <v>FLAXIN</v>
          </cell>
          <cell r="E272" t="str">
            <v>5 MG COM REV CT BL AL PLAS INC X 30</v>
          </cell>
          <cell r="F272" t="str">
            <v>Comprimido revestido</v>
          </cell>
          <cell r="G272"/>
          <cell r="H272"/>
          <cell r="I272">
            <v>30</v>
          </cell>
          <cell r="J272"/>
          <cell r="K272" t="str">
            <v>Conformidade</v>
          </cell>
          <cell r="L272">
            <v>2</v>
          </cell>
          <cell r="M272" t="str">
            <v>Tarja Vermelha</v>
          </cell>
          <cell r="N272" t="str">
            <v>Não</v>
          </cell>
          <cell r="O272" t="str">
            <v>Não</v>
          </cell>
          <cell r="P272" t="str">
            <v>Não</v>
          </cell>
          <cell r="Q272" t="str">
            <v>I</v>
          </cell>
          <cell r="R272"/>
          <cell r="S272" t="str">
            <v>Similar</v>
          </cell>
          <cell r="T272" t="str">
            <v>Monitorado</v>
          </cell>
          <cell r="U272"/>
          <cell r="V272" t="str">
            <v>98319-26-7</v>
          </cell>
          <cell r="W272"/>
          <cell r="X272"/>
          <cell r="Y272" t="str">
            <v>MG</v>
          </cell>
          <cell r="Z272">
            <v>4055</v>
          </cell>
          <cell r="AA272" t="str">
            <v>664 - BPH INIBIDORES DA 5-ALFA TESTOSTERONA REDUTASE (5-ARI) PUROS</v>
          </cell>
          <cell r="AB272" t="str">
            <v>N</v>
          </cell>
          <cell r="AC272" t="str">
            <v>N</v>
          </cell>
          <cell r="AD272">
            <v>0</v>
          </cell>
          <cell r="AE272" t="str">
            <v>N</v>
          </cell>
          <cell r="AF272">
            <v>0</v>
          </cell>
          <cell r="AG272">
            <v>42.33</v>
          </cell>
          <cell r="AH272">
            <v>44.88</v>
          </cell>
          <cell r="AI272">
            <v>0</v>
          </cell>
          <cell r="AJ272">
            <v>45.43</v>
          </cell>
          <cell r="AK272">
            <v>45.99</v>
          </cell>
          <cell r="AL272">
            <v>0</v>
          </cell>
          <cell r="AM272">
            <v>44.88</v>
          </cell>
          <cell r="AN272">
            <v>0</v>
          </cell>
          <cell r="AO272">
            <v>58.52</v>
          </cell>
          <cell r="AP272">
            <v>62.04</v>
          </cell>
          <cell r="AQ272">
            <v>0</v>
          </cell>
          <cell r="AR272">
            <v>62.8</v>
          </cell>
          <cell r="AS272">
            <v>63.58</v>
          </cell>
          <cell r="AT272">
            <v>0</v>
          </cell>
          <cell r="AU272">
            <v>62.04</v>
          </cell>
          <cell r="AV272">
            <v>0</v>
          </cell>
          <cell r="AW272">
            <v>43.63</v>
          </cell>
          <cell r="AX272">
            <v>46.26</v>
          </cell>
          <cell r="AY272">
            <v>46.54</v>
          </cell>
          <cell r="AZ272">
            <v>46.82</v>
          </cell>
          <cell r="BA272">
            <v>47.4</v>
          </cell>
          <cell r="BB272">
            <v>47.4</v>
          </cell>
          <cell r="BC272">
            <v>46.26</v>
          </cell>
          <cell r="BD272">
            <v>0</v>
          </cell>
          <cell r="BE272">
            <v>60.32</v>
          </cell>
          <cell r="BF272">
            <v>63.95</v>
          </cell>
          <cell r="BG272">
            <v>64.34</v>
          </cell>
          <cell r="BH272">
            <v>64.73</v>
          </cell>
          <cell r="BI272">
            <v>65.53</v>
          </cell>
          <cell r="BJ272">
            <v>66.34</v>
          </cell>
          <cell r="BK272">
            <v>63.95</v>
          </cell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  <cell r="AQ273"/>
          <cell r="AR273"/>
          <cell r="AS273"/>
          <cell r="AT273"/>
          <cell r="AU273"/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/>
          <cell r="BG273"/>
          <cell r="BH273"/>
          <cell r="BI273"/>
          <cell r="BJ273"/>
          <cell r="BK273"/>
        </row>
        <row r="274">
          <cell r="A274"/>
          <cell r="B274"/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  <cell r="AQ274"/>
          <cell r="AR274"/>
          <cell r="AS274"/>
          <cell r="AT274"/>
          <cell r="AU274"/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/>
          <cell r="BG274"/>
          <cell r="BH274"/>
          <cell r="BI274"/>
          <cell r="BJ274"/>
          <cell r="BK274"/>
        </row>
        <row r="275">
          <cell r="A275">
            <v>7891721000713</v>
          </cell>
          <cell r="B275">
            <v>1008902080051</v>
          </cell>
          <cell r="C275">
            <v>525404604134412</v>
          </cell>
          <cell r="D275" t="str">
            <v>FLOGAN SOLÚVEL</v>
          </cell>
          <cell r="E275" t="str">
            <v>100 MG COM SOL CT CART BL AL PLAS TRANS X 10</v>
          </cell>
          <cell r="F275" t="str">
            <v>Comprimido para solução</v>
          </cell>
          <cell r="G275">
            <v>1</v>
          </cell>
          <cell r="H275"/>
          <cell r="I275">
            <v>10</v>
          </cell>
          <cell r="J275"/>
          <cell r="K275" t="str">
            <v>Conformidade</v>
          </cell>
          <cell r="L275">
            <v>1</v>
          </cell>
          <cell r="M275" t="str">
            <v>Tarja Vermelha</v>
          </cell>
          <cell r="N275" t="str">
            <v>Não</v>
          </cell>
          <cell r="O275" t="str">
            <v>Não</v>
          </cell>
          <cell r="P275" t="str">
            <v>Não</v>
          </cell>
          <cell r="Q275" t="str">
            <v>I</v>
          </cell>
          <cell r="R275"/>
          <cell r="S275" t="str">
            <v>Similar</v>
          </cell>
          <cell r="T275" t="str">
            <v>Monitorado</v>
          </cell>
          <cell r="U275"/>
          <cell r="V275" t="str">
            <v>15307-86-5</v>
          </cell>
          <cell r="W275"/>
          <cell r="X275"/>
          <cell r="Y275" t="str">
            <v>MG</v>
          </cell>
          <cell r="Z275">
            <v>2926</v>
          </cell>
          <cell r="AA275" t="str">
            <v>466 - ANTI-REUMÁTICOS NÃO ESTEROIDAIS PUROS</v>
          </cell>
          <cell r="AB275" t="str">
            <v>N</v>
          </cell>
          <cell r="AC275" t="str">
            <v>N</v>
          </cell>
          <cell r="AD275">
            <v>0</v>
          </cell>
          <cell r="AE275" t="str">
            <v>N</v>
          </cell>
          <cell r="AF275">
            <v>0</v>
          </cell>
          <cell r="AG275">
            <v>10.029999999999999</v>
          </cell>
          <cell r="AH275">
            <v>10.63</v>
          </cell>
          <cell r="AI275">
            <v>0</v>
          </cell>
          <cell r="AJ275">
            <v>10.76</v>
          </cell>
          <cell r="AK275">
            <v>10.89</v>
          </cell>
          <cell r="AL275">
            <v>0</v>
          </cell>
          <cell r="AM275">
            <v>10.63</v>
          </cell>
          <cell r="AN275">
            <v>0</v>
          </cell>
          <cell r="AO275">
            <v>13.87</v>
          </cell>
          <cell r="AP275">
            <v>14.7</v>
          </cell>
          <cell r="AQ275">
            <v>0</v>
          </cell>
          <cell r="AR275">
            <v>14.88</v>
          </cell>
          <cell r="AS275">
            <v>15.05</v>
          </cell>
          <cell r="AT275">
            <v>0</v>
          </cell>
          <cell r="AU275">
            <v>14.7</v>
          </cell>
          <cell r="AV275">
            <v>0</v>
          </cell>
          <cell r="AW275">
            <v>10.029999999999999</v>
          </cell>
          <cell r="AX275">
            <v>10.63</v>
          </cell>
          <cell r="AY275">
            <v>10.69</v>
          </cell>
          <cell r="AZ275">
            <v>10.76</v>
          </cell>
          <cell r="BA275">
            <v>10.89</v>
          </cell>
          <cell r="BB275">
            <v>10.89</v>
          </cell>
          <cell r="BC275">
            <v>10.63</v>
          </cell>
          <cell r="BD275">
            <v>0</v>
          </cell>
          <cell r="BE275">
            <v>13.87</v>
          </cell>
          <cell r="BF275">
            <v>14.7</v>
          </cell>
          <cell r="BG275">
            <v>14.78</v>
          </cell>
          <cell r="BH275">
            <v>14.88</v>
          </cell>
          <cell r="BI275">
            <v>15.05</v>
          </cell>
          <cell r="BJ275">
            <v>15.25</v>
          </cell>
          <cell r="BK275">
            <v>14.7</v>
          </cell>
        </row>
        <row r="276">
          <cell r="A276">
            <v>7891721000706</v>
          </cell>
          <cell r="B276">
            <v>1008902080076</v>
          </cell>
          <cell r="C276">
            <v>525404606137419</v>
          </cell>
          <cell r="D276" t="str">
            <v>FLOGAN SOLÚVEL</v>
          </cell>
          <cell r="E276" t="str">
            <v>50 MG COM SOL EST CART 2 BL AL PLAS TRANS X 10</v>
          </cell>
          <cell r="F276" t="str">
            <v>Comprimido para solução</v>
          </cell>
          <cell r="G276">
            <v>2</v>
          </cell>
          <cell r="H276"/>
          <cell r="I276">
            <v>20</v>
          </cell>
          <cell r="J276"/>
          <cell r="K276" t="str">
            <v>Conformidade</v>
          </cell>
          <cell r="L276">
            <v>1</v>
          </cell>
          <cell r="M276" t="str">
            <v>Tarja Vermelha</v>
          </cell>
          <cell r="N276" t="str">
            <v>Não</v>
          </cell>
          <cell r="O276" t="str">
            <v>Não</v>
          </cell>
          <cell r="P276" t="str">
            <v>Não</v>
          </cell>
          <cell r="Q276" t="str">
            <v>I</v>
          </cell>
          <cell r="R276"/>
          <cell r="S276" t="str">
            <v>Similar</v>
          </cell>
          <cell r="T276" t="str">
            <v>Monitorado</v>
          </cell>
          <cell r="U276"/>
          <cell r="V276" t="str">
            <v>15307-86-5</v>
          </cell>
          <cell r="W276"/>
          <cell r="X276"/>
          <cell r="Y276" t="str">
            <v>MG</v>
          </cell>
          <cell r="Z276">
            <v>2926</v>
          </cell>
          <cell r="AA276" t="str">
            <v>466 - ANTI-REUMÁTICOS NÃO ESTEROIDAIS PUROS</v>
          </cell>
          <cell r="AB276" t="str">
            <v>N</v>
          </cell>
          <cell r="AC276" t="str">
            <v>N</v>
          </cell>
          <cell r="AD276">
            <v>0</v>
          </cell>
          <cell r="AE276" t="str">
            <v>N</v>
          </cell>
          <cell r="AF276">
            <v>0</v>
          </cell>
          <cell r="AG276">
            <v>10.029999999999999</v>
          </cell>
          <cell r="AH276">
            <v>10.63</v>
          </cell>
          <cell r="AI276">
            <v>0</v>
          </cell>
          <cell r="AJ276">
            <v>10.76</v>
          </cell>
          <cell r="AK276">
            <v>10.89</v>
          </cell>
          <cell r="AL276">
            <v>0</v>
          </cell>
          <cell r="AM276">
            <v>10.63</v>
          </cell>
          <cell r="AN276">
            <v>0</v>
          </cell>
          <cell r="AO276">
            <v>13.87</v>
          </cell>
          <cell r="AP276">
            <v>14.7</v>
          </cell>
          <cell r="AQ276">
            <v>0</v>
          </cell>
          <cell r="AR276">
            <v>14.88</v>
          </cell>
          <cell r="AS276">
            <v>15.05</v>
          </cell>
          <cell r="AT276">
            <v>0</v>
          </cell>
          <cell r="AU276">
            <v>14.7</v>
          </cell>
          <cell r="AV276">
            <v>0</v>
          </cell>
          <cell r="AW276">
            <v>10.029999999999999</v>
          </cell>
          <cell r="AX276">
            <v>10.63</v>
          </cell>
          <cell r="AY276">
            <v>10.69</v>
          </cell>
          <cell r="AZ276">
            <v>10.76</v>
          </cell>
          <cell r="BA276">
            <v>10.89</v>
          </cell>
          <cell r="BB276">
            <v>10.89</v>
          </cell>
          <cell r="BC276">
            <v>10.63</v>
          </cell>
          <cell r="BD276">
            <v>0</v>
          </cell>
          <cell r="BE276">
            <v>13.87</v>
          </cell>
          <cell r="BF276">
            <v>14.7</v>
          </cell>
          <cell r="BG276">
            <v>14.78</v>
          </cell>
          <cell r="BH276">
            <v>14.88</v>
          </cell>
          <cell r="BI276">
            <v>15.05</v>
          </cell>
          <cell r="BJ276">
            <v>15.25</v>
          </cell>
          <cell r="BK276">
            <v>14.7</v>
          </cell>
        </row>
        <row r="277">
          <cell r="A277">
            <v>7891721022166</v>
          </cell>
          <cell r="B277">
            <v>1008903360056</v>
          </cell>
          <cell r="C277">
            <v>525419604135417</v>
          </cell>
          <cell r="D277" t="str">
            <v>FLORALYTE</v>
          </cell>
          <cell r="E277" t="str">
            <v>2,05 MG/ML + 2,16 MG/ML + 0,98 MG/ML + 22,75 MG/ML SOL OR FR PLAS TRANS X 500 ML (SABOR ABACAXI) </v>
          </cell>
          <cell r="F277" t="str">
            <v>SOLUÇÃO ORAL</v>
          </cell>
          <cell r="G277">
            <v>1</v>
          </cell>
          <cell r="H277" t="str">
            <v>FRASCO</v>
          </cell>
          <cell r="I277">
            <v>500</v>
          </cell>
          <cell r="J277" t="str">
            <v>ML</v>
          </cell>
          <cell r="K277" t="str">
            <v>Conformidade</v>
          </cell>
          <cell r="L277">
            <v>3</v>
          </cell>
          <cell r="M277" t="str">
            <v>Venda Livre</v>
          </cell>
          <cell r="N277" t="str">
            <v>Não</v>
          </cell>
          <cell r="O277" t="str">
            <v>Não</v>
          </cell>
          <cell r="P277" t="str">
            <v>Não</v>
          </cell>
          <cell r="Q277" t="str">
            <v>N</v>
          </cell>
          <cell r="R277"/>
          <cell r="S277" t="str">
            <v>Similar</v>
          </cell>
          <cell r="T277" t="str">
            <v>Monitorado</v>
          </cell>
          <cell r="U277"/>
          <cell r="V277" t="str">
            <v>6100-05-6,7647-14-5,50-99-7,CSD</v>
          </cell>
          <cell r="W277"/>
          <cell r="X277"/>
          <cell r="Y277" t="str">
            <v>MG</v>
          </cell>
          <cell r="Z277" t="str">
            <v>09373,02421,04485,CSD</v>
          </cell>
          <cell r="AA277" t="str">
            <v>42 - REPOSITORES ORAIS ELECTROLÍTICOS</v>
          </cell>
          <cell r="AB277" t="str">
            <v>N</v>
          </cell>
          <cell r="AC277" t="str">
            <v>N</v>
          </cell>
          <cell r="AD277">
            <v>0</v>
          </cell>
          <cell r="AE277" t="str">
            <v>N</v>
          </cell>
          <cell r="AF277">
            <v>0</v>
          </cell>
          <cell r="AG277">
            <v>13.67</v>
          </cell>
          <cell r="AH277">
            <v>14.62</v>
          </cell>
          <cell r="AI277">
            <v>0</v>
          </cell>
          <cell r="AJ277">
            <v>14.83</v>
          </cell>
          <cell r="AK277">
            <v>15.04</v>
          </cell>
          <cell r="AL277">
            <v>0</v>
          </cell>
          <cell r="AM277">
            <v>12.7</v>
          </cell>
          <cell r="AN277">
            <v>0</v>
          </cell>
          <cell r="AO277">
            <v>18.23</v>
          </cell>
          <cell r="AP277">
            <v>19.46</v>
          </cell>
          <cell r="AQ277">
            <v>0</v>
          </cell>
          <cell r="AR277">
            <v>19.72</v>
          </cell>
          <cell r="AS277">
            <v>20</v>
          </cell>
          <cell r="AT277">
            <v>0</v>
          </cell>
          <cell r="AU277">
            <v>17.559999999999999</v>
          </cell>
          <cell r="AV277">
            <v>0</v>
          </cell>
          <cell r="AW277">
            <v>13.68</v>
          </cell>
          <cell r="AX277">
            <v>14.62</v>
          </cell>
          <cell r="AY277">
            <v>14.73</v>
          </cell>
          <cell r="AZ277">
            <v>14.83</v>
          </cell>
          <cell r="BA277">
            <v>15.04</v>
          </cell>
          <cell r="BB277">
            <v>15.04</v>
          </cell>
          <cell r="BC277">
            <v>12.73</v>
          </cell>
          <cell r="BD277">
            <v>0</v>
          </cell>
          <cell r="BE277">
            <v>18.27</v>
          </cell>
          <cell r="BF277">
            <v>19.489999999999998</v>
          </cell>
          <cell r="BG277">
            <v>19.63</v>
          </cell>
          <cell r="BH277">
            <v>19.760000000000002</v>
          </cell>
          <cell r="BI277">
            <v>20.03</v>
          </cell>
          <cell r="BJ277">
            <v>20.309999999999999</v>
          </cell>
          <cell r="BK277">
            <v>17.600000000000001</v>
          </cell>
        </row>
        <row r="278">
          <cell r="A278">
            <v>7891721022920</v>
          </cell>
          <cell r="B278">
            <v>1008903360064</v>
          </cell>
          <cell r="C278">
            <v>525419607134411</v>
          </cell>
          <cell r="D278" t="str">
            <v>FLORALYTE</v>
          </cell>
          <cell r="E278" t="str">
            <v>2,05 MG/ML + 2,16 MG/ML + 0,98 MG/ML + 22,75 MG/ML SOL OR FR PLAS TRANS X 500 ML (SABOR CEREJA)</v>
          </cell>
          <cell r="F278" t="str">
            <v>SOLUÇÃO ORAL</v>
          </cell>
          <cell r="G278">
            <v>1</v>
          </cell>
          <cell r="H278" t="str">
            <v>FRASCO</v>
          </cell>
          <cell r="I278">
            <v>500</v>
          </cell>
          <cell r="J278" t="str">
            <v>ML</v>
          </cell>
          <cell r="K278" t="str">
            <v>Conformidade</v>
          </cell>
          <cell r="L278">
            <v>3</v>
          </cell>
          <cell r="M278" t="str">
            <v>Venda Livre</v>
          </cell>
          <cell r="N278" t="str">
            <v>Não</v>
          </cell>
          <cell r="O278" t="str">
            <v>Não</v>
          </cell>
          <cell r="P278" t="str">
            <v>Não</v>
          </cell>
          <cell r="Q278" t="str">
            <v>N</v>
          </cell>
          <cell r="R278"/>
          <cell r="S278" t="str">
            <v>Similar</v>
          </cell>
          <cell r="T278" t="str">
            <v>Monitorado</v>
          </cell>
          <cell r="U278"/>
          <cell r="V278" t="str">
            <v>6100-05-6,7647-14-5,50-99-7,CSD</v>
          </cell>
          <cell r="W278"/>
          <cell r="X278"/>
          <cell r="Y278" t="str">
            <v>MG/ML</v>
          </cell>
          <cell r="Z278" t="str">
            <v>09373,02421,04485,CSD</v>
          </cell>
          <cell r="AA278" t="str">
            <v>42 - REPOSITORES ORAIS ELECTROLÍTICOS</v>
          </cell>
          <cell r="AB278" t="str">
            <v>N</v>
          </cell>
          <cell r="AC278" t="str">
            <v>N</v>
          </cell>
          <cell r="AD278">
            <v>0</v>
          </cell>
          <cell r="AE278" t="str">
            <v>N</v>
          </cell>
          <cell r="AF278">
            <v>0</v>
          </cell>
          <cell r="AG278">
            <v>13.67</v>
          </cell>
          <cell r="AH278">
            <v>14.62</v>
          </cell>
          <cell r="AI278">
            <v>0</v>
          </cell>
          <cell r="AJ278">
            <v>14.83</v>
          </cell>
          <cell r="AK278">
            <v>15.04</v>
          </cell>
          <cell r="AL278">
            <v>0</v>
          </cell>
          <cell r="AM278">
            <v>12.7</v>
          </cell>
          <cell r="AN278">
            <v>0</v>
          </cell>
          <cell r="AO278">
            <v>18.23</v>
          </cell>
          <cell r="AP278">
            <v>19.46</v>
          </cell>
          <cell r="AQ278">
            <v>0</v>
          </cell>
          <cell r="AR278">
            <v>19.72</v>
          </cell>
          <cell r="AS278">
            <v>20</v>
          </cell>
          <cell r="AT278">
            <v>0</v>
          </cell>
          <cell r="AU278">
            <v>17.559999999999999</v>
          </cell>
          <cell r="AV278">
            <v>0</v>
          </cell>
          <cell r="AW278">
            <v>13.68</v>
          </cell>
          <cell r="AX278">
            <v>14.62</v>
          </cell>
          <cell r="AY278">
            <v>14.73</v>
          </cell>
          <cell r="AZ278">
            <v>14.83</v>
          </cell>
          <cell r="BA278">
            <v>15.04</v>
          </cell>
          <cell r="BB278">
            <v>15.04</v>
          </cell>
          <cell r="BC278">
            <v>12.73</v>
          </cell>
          <cell r="BD278">
            <v>0</v>
          </cell>
          <cell r="BE278">
            <v>18.27</v>
          </cell>
          <cell r="BF278">
            <v>19.489999999999998</v>
          </cell>
          <cell r="BG278">
            <v>19.63</v>
          </cell>
          <cell r="BH278">
            <v>19.760000000000002</v>
          </cell>
          <cell r="BI278">
            <v>20.03</v>
          </cell>
          <cell r="BJ278">
            <v>20.309999999999999</v>
          </cell>
          <cell r="BK278">
            <v>17.600000000000001</v>
          </cell>
        </row>
        <row r="279">
          <cell r="A279"/>
          <cell r="B279"/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  <cell r="AM279"/>
          <cell r="AN279"/>
          <cell r="AO279"/>
          <cell r="AP279"/>
          <cell r="AQ279"/>
          <cell r="AR279"/>
          <cell r="AS279"/>
          <cell r="AT279"/>
          <cell r="AU279"/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/>
          <cell r="BG279"/>
          <cell r="BH279"/>
          <cell r="BI279"/>
          <cell r="BJ279"/>
          <cell r="BK279"/>
        </row>
        <row r="280">
          <cell r="A280">
            <v>7891721024719</v>
          </cell>
          <cell r="B280">
            <v>1008903360099</v>
          </cell>
          <cell r="C280">
            <v>525419609137310</v>
          </cell>
          <cell r="D280" t="str">
            <v>FLORALYTE</v>
          </cell>
          <cell r="E280" t="str">
            <v>2,05 MG/ML + 2,16 MG/ML + 0,98 MG/ML + 22,75 MG/ML SOL OR FR PLAS TRANS X 500 ML (SABOR COCO)</v>
          </cell>
          <cell r="F280" t="str">
            <v>SOLUÇÃO ORAL</v>
          </cell>
          <cell r="G280">
            <v>1</v>
          </cell>
          <cell r="H280" t="str">
            <v>FRASCO</v>
          </cell>
          <cell r="I280">
            <v>500</v>
          </cell>
          <cell r="J280" t="str">
            <v>ML</v>
          </cell>
          <cell r="K280" t="str">
            <v>Conformidade</v>
          </cell>
          <cell r="L280">
            <v>3</v>
          </cell>
          <cell r="M280" t="str">
            <v>Venda Livre</v>
          </cell>
          <cell r="N280" t="str">
            <v>Não</v>
          </cell>
          <cell r="O280" t="str">
            <v>Não</v>
          </cell>
          <cell r="P280" t="str">
            <v>Não</v>
          </cell>
          <cell r="Q280" t="str">
            <v>N</v>
          </cell>
          <cell r="R280"/>
          <cell r="S280" t="str">
            <v>Similar</v>
          </cell>
          <cell r="T280" t="str">
            <v>Monitorado</v>
          </cell>
          <cell r="U280"/>
          <cell r="V280" t="str">
            <v>6100-05-6,7647-14-5,50-99-7,CSD</v>
          </cell>
          <cell r="W280"/>
          <cell r="X280"/>
          <cell r="Y280" t="str">
            <v>MG/ML</v>
          </cell>
          <cell r="Z280" t="str">
            <v>09373,02421,04485,CSD</v>
          </cell>
          <cell r="AA280" t="str">
            <v>42 - REPOSITORES ORAIS ELECTROLÍTICOS</v>
          </cell>
          <cell r="AB280" t="str">
            <v>N</v>
          </cell>
          <cell r="AC280" t="str">
            <v>N</v>
          </cell>
          <cell r="AD280">
            <v>0</v>
          </cell>
          <cell r="AE280" t="str">
            <v>N</v>
          </cell>
          <cell r="AF280">
            <v>0</v>
          </cell>
          <cell r="AG280">
            <v>13.67</v>
          </cell>
          <cell r="AH280">
            <v>14.62</v>
          </cell>
          <cell r="AI280">
            <v>0</v>
          </cell>
          <cell r="AJ280">
            <v>14.83</v>
          </cell>
          <cell r="AK280">
            <v>15.04</v>
          </cell>
          <cell r="AL280">
            <v>0</v>
          </cell>
          <cell r="AM280">
            <v>12.7</v>
          </cell>
          <cell r="AN280">
            <v>0</v>
          </cell>
          <cell r="AO280">
            <v>18.23</v>
          </cell>
          <cell r="AP280">
            <v>19.46</v>
          </cell>
          <cell r="AQ280">
            <v>0</v>
          </cell>
          <cell r="AR280">
            <v>19.72</v>
          </cell>
          <cell r="AS280">
            <v>20</v>
          </cell>
          <cell r="AT280">
            <v>0</v>
          </cell>
          <cell r="AU280">
            <v>17.559999999999999</v>
          </cell>
          <cell r="AV280">
            <v>0</v>
          </cell>
          <cell r="AW280">
            <v>13.86</v>
          </cell>
          <cell r="AX280">
            <v>14.82</v>
          </cell>
          <cell r="AY280">
            <v>14.93</v>
          </cell>
          <cell r="AZ280">
            <v>15.03</v>
          </cell>
          <cell r="BA280">
            <v>15.25</v>
          </cell>
          <cell r="BB280">
            <v>15.25</v>
          </cell>
          <cell r="BC280">
            <v>12.9</v>
          </cell>
          <cell r="BD280">
            <v>0</v>
          </cell>
          <cell r="BE280">
            <v>18.510000000000002</v>
          </cell>
          <cell r="BF280">
            <v>19.75</v>
          </cell>
          <cell r="BG280">
            <v>19.899999999999999</v>
          </cell>
          <cell r="BH280">
            <v>20.03</v>
          </cell>
          <cell r="BI280">
            <v>20.309999999999999</v>
          </cell>
          <cell r="BJ280">
            <v>20.59</v>
          </cell>
          <cell r="BK280">
            <v>17.829999999999998</v>
          </cell>
        </row>
        <row r="281">
          <cell r="A281"/>
          <cell r="B281"/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  <cell r="AM281"/>
          <cell r="AN281"/>
          <cell r="AO281"/>
          <cell r="AP281"/>
          <cell r="AQ281"/>
          <cell r="AR281"/>
          <cell r="AS281"/>
          <cell r="AT281"/>
          <cell r="AU281"/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/>
          <cell r="BG281"/>
          <cell r="BH281"/>
          <cell r="BI281"/>
          <cell r="BJ281"/>
          <cell r="BK281"/>
        </row>
        <row r="282">
          <cell r="A282">
            <v>7891721016202</v>
          </cell>
          <cell r="B282">
            <v>1008903360013</v>
          </cell>
          <cell r="C282">
            <v>525419603139419</v>
          </cell>
          <cell r="D282" t="str">
            <v>FLORALYTE</v>
          </cell>
          <cell r="E282" t="str">
            <v>2,05 MG/ML + 2,16 MG/ML + 0,98 MG/ML + 22,75 MG/ML SOL OR FR PLAS TRANS X 500 ML (SABOR GUARANÁ)</v>
          </cell>
          <cell r="F282" t="str">
            <v>SOLUÇÃO ORAL</v>
          </cell>
          <cell r="G282">
            <v>1</v>
          </cell>
          <cell r="H282" t="str">
            <v>FRASCO</v>
          </cell>
          <cell r="I282">
            <v>500</v>
          </cell>
          <cell r="J282" t="str">
            <v>ML</v>
          </cell>
          <cell r="K282" t="str">
            <v>Conformidade</v>
          </cell>
          <cell r="L282">
            <v>3</v>
          </cell>
          <cell r="M282" t="str">
            <v>Venda Livre</v>
          </cell>
          <cell r="N282" t="str">
            <v>Não</v>
          </cell>
          <cell r="O282" t="str">
            <v>Não</v>
          </cell>
          <cell r="P282" t="str">
            <v>Não</v>
          </cell>
          <cell r="Q282" t="str">
            <v>N</v>
          </cell>
          <cell r="R282"/>
          <cell r="S282" t="str">
            <v>Similar</v>
          </cell>
          <cell r="T282" t="str">
            <v>Monitorado</v>
          </cell>
          <cell r="U282"/>
          <cell r="V282" t="str">
            <v>6100-05-6,7647-14-5,50-99-7,CSD</v>
          </cell>
          <cell r="W282"/>
          <cell r="X282"/>
          <cell r="Y282" t="str">
            <v>MG</v>
          </cell>
          <cell r="Z282" t="str">
            <v>09373,02421,04485,CSD</v>
          </cell>
          <cell r="AA282" t="str">
            <v>42 - REPOSITORES ORAIS ELECTROLÍTICOS</v>
          </cell>
          <cell r="AB282" t="str">
            <v>N</v>
          </cell>
          <cell r="AC282" t="str">
            <v>N</v>
          </cell>
          <cell r="AD282">
            <v>0</v>
          </cell>
          <cell r="AE282" t="str">
            <v>N</v>
          </cell>
          <cell r="AF282">
            <v>0</v>
          </cell>
          <cell r="AG282">
            <v>13.67</v>
          </cell>
          <cell r="AH282">
            <v>14.62</v>
          </cell>
          <cell r="AI282">
            <v>0</v>
          </cell>
          <cell r="AJ282">
            <v>14.83</v>
          </cell>
          <cell r="AK282">
            <v>15.04</v>
          </cell>
          <cell r="AL282">
            <v>0</v>
          </cell>
          <cell r="AM282">
            <v>12.7</v>
          </cell>
          <cell r="AN282">
            <v>0</v>
          </cell>
          <cell r="AO282">
            <v>18.23</v>
          </cell>
          <cell r="AP282">
            <v>19.46</v>
          </cell>
          <cell r="AQ282">
            <v>0</v>
          </cell>
          <cell r="AR282">
            <v>19.72</v>
          </cell>
          <cell r="AS282">
            <v>20</v>
          </cell>
          <cell r="AT282">
            <v>0</v>
          </cell>
          <cell r="AU282">
            <v>17.559999999999999</v>
          </cell>
          <cell r="AV282">
            <v>0</v>
          </cell>
          <cell r="AW282">
            <v>13.86</v>
          </cell>
          <cell r="AX282">
            <v>14.82</v>
          </cell>
          <cell r="AY282">
            <v>14.93</v>
          </cell>
          <cell r="AZ282">
            <v>15.03</v>
          </cell>
          <cell r="BA282">
            <v>15.25</v>
          </cell>
          <cell r="BB282">
            <v>15.25</v>
          </cell>
          <cell r="BC282">
            <v>12.9</v>
          </cell>
          <cell r="BD282">
            <v>0</v>
          </cell>
          <cell r="BE282">
            <v>18.510000000000002</v>
          </cell>
          <cell r="BF282">
            <v>19.75</v>
          </cell>
          <cell r="BG282">
            <v>19.899999999999999</v>
          </cell>
          <cell r="BH282">
            <v>20.03</v>
          </cell>
          <cell r="BI282">
            <v>20.309999999999999</v>
          </cell>
          <cell r="BJ282">
            <v>20.59</v>
          </cell>
          <cell r="BK282">
            <v>17.829999999999998</v>
          </cell>
        </row>
        <row r="283">
          <cell r="A283"/>
          <cell r="B283"/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  <cell r="AM283"/>
          <cell r="AN283"/>
          <cell r="AO283"/>
          <cell r="AP283"/>
          <cell r="AQ283"/>
          <cell r="AR283"/>
          <cell r="AS283"/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/>
          <cell r="BG283"/>
          <cell r="BH283"/>
          <cell r="BI283"/>
          <cell r="BJ283"/>
          <cell r="BK283"/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  <cell r="AQ284"/>
          <cell r="AR284"/>
          <cell r="AS284"/>
          <cell r="AT284"/>
          <cell r="AU284"/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/>
          <cell r="BG284"/>
          <cell r="BH284"/>
          <cell r="BI284"/>
          <cell r="BJ284"/>
          <cell r="BK284"/>
        </row>
        <row r="285">
          <cell r="A285">
            <v>7891721016219</v>
          </cell>
          <cell r="B285">
            <v>1008903360021</v>
          </cell>
          <cell r="C285">
            <v>525419602132410</v>
          </cell>
          <cell r="D285" t="str">
            <v>FLORALYTE</v>
          </cell>
          <cell r="E285" t="str">
            <v>2,05 MG/ML + 2,16 MG/ML + 0,98 MG/ML + 22,75 MG/ML SOL OR FR PLAS TRANS X 500 ML (SABOR LARANJA)</v>
          </cell>
          <cell r="F285" t="str">
            <v>SOLUÇÃO ORAL</v>
          </cell>
          <cell r="G285">
            <v>1</v>
          </cell>
          <cell r="H285" t="str">
            <v>FRASCO</v>
          </cell>
          <cell r="I285">
            <v>500</v>
          </cell>
          <cell r="J285" t="str">
            <v>ML</v>
          </cell>
          <cell r="K285" t="str">
            <v>Conformidade</v>
          </cell>
          <cell r="L285">
            <v>3</v>
          </cell>
          <cell r="M285" t="str">
            <v>Venda Livre</v>
          </cell>
          <cell r="N285" t="str">
            <v>Não</v>
          </cell>
          <cell r="O285" t="str">
            <v>Não</v>
          </cell>
          <cell r="P285" t="str">
            <v>Não</v>
          </cell>
          <cell r="Q285" t="str">
            <v>N</v>
          </cell>
          <cell r="R285"/>
          <cell r="S285" t="str">
            <v>Similar</v>
          </cell>
          <cell r="T285" t="str">
            <v>Monitorado</v>
          </cell>
          <cell r="U285"/>
          <cell r="V285" t="str">
            <v>6100-05-6,7647-14-5,50-99-7,CSD</v>
          </cell>
          <cell r="W285"/>
          <cell r="X285"/>
          <cell r="Y285" t="str">
            <v>MG</v>
          </cell>
          <cell r="Z285" t="str">
            <v>09373,02421,04485,CSD</v>
          </cell>
          <cell r="AA285" t="str">
            <v>42 - REPOSITORES ORAIS ELECTROLÍTICOS</v>
          </cell>
          <cell r="AB285" t="str">
            <v>N</v>
          </cell>
          <cell r="AC285" t="str">
            <v>N</v>
          </cell>
          <cell r="AD285">
            <v>0</v>
          </cell>
          <cell r="AE285" t="str">
            <v>N</v>
          </cell>
          <cell r="AF285">
            <v>0</v>
          </cell>
          <cell r="AG285">
            <v>13.67</v>
          </cell>
          <cell r="AH285">
            <v>14.62</v>
          </cell>
          <cell r="AI285">
            <v>0</v>
          </cell>
          <cell r="AJ285">
            <v>14.83</v>
          </cell>
          <cell r="AK285">
            <v>15.04</v>
          </cell>
          <cell r="AL285">
            <v>0</v>
          </cell>
          <cell r="AM285">
            <v>12.7</v>
          </cell>
          <cell r="AN285">
            <v>0</v>
          </cell>
          <cell r="AO285">
            <v>18.23</v>
          </cell>
          <cell r="AP285">
            <v>19.46</v>
          </cell>
          <cell r="AQ285">
            <v>0</v>
          </cell>
          <cell r="AR285">
            <v>19.72</v>
          </cell>
          <cell r="AS285">
            <v>20</v>
          </cell>
          <cell r="AT285">
            <v>0</v>
          </cell>
          <cell r="AU285">
            <v>17.559999999999999</v>
          </cell>
          <cell r="AV285">
            <v>0</v>
          </cell>
          <cell r="AW285">
            <v>13.86</v>
          </cell>
          <cell r="AX285">
            <v>14.82</v>
          </cell>
          <cell r="AY285">
            <v>14.93</v>
          </cell>
          <cell r="AZ285">
            <v>15.03</v>
          </cell>
          <cell r="BA285">
            <v>15.25</v>
          </cell>
          <cell r="BB285">
            <v>15.25</v>
          </cell>
          <cell r="BC285">
            <v>12.9</v>
          </cell>
          <cell r="BD285">
            <v>0</v>
          </cell>
          <cell r="BE285">
            <v>18.510000000000002</v>
          </cell>
          <cell r="BF285">
            <v>19.75</v>
          </cell>
          <cell r="BG285">
            <v>19.899999999999999</v>
          </cell>
          <cell r="BH285">
            <v>20.03</v>
          </cell>
          <cell r="BI285">
            <v>20.309999999999999</v>
          </cell>
          <cell r="BJ285">
            <v>20.59</v>
          </cell>
          <cell r="BK285">
            <v>17.829999999999998</v>
          </cell>
        </row>
        <row r="286">
          <cell r="A286"/>
          <cell r="B286"/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/>
          <cell r="AN286"/>
          <cell r="AO286"/>
          <cell r="AP286"/>
          <cell r="AQ286"/>
          <cell r="AR286"/>
          <cell r="AS286"/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/>
          <cell r="BG286"/>
          <cell r="BH286"/>
          <cell r="BI286"/>
          <cell r="BJ286"/>
          <cell r="BK286"/>
        </row>
        <row r="287">
          <cell r="A287">
            <v>7891721023439</v>
          </cell>
          <cell r="B287">
            <v>1008903360080</v>
          </cell>
          <cell r="C287">
            <v>525419608130312</v>
          </cell>
          <cell r="D287" t="str">
            <v>FLORALYTE</v>
          </cell>
          <cell r="E287" t="str">
            <v>2,05 MG/ML + 2,16 MG/ML + 0,98 MG/ML + 22,75 MG/ML SOL OR FR PLAS TRANS X 500 ML (SABOR MACA)</v>
          </cell>
          <cell r="F287" t="str">
            <v>SOLUÇÃO ORAL</v>
          </cell>
          <cell r="G287">
            <v>1</v>
          </cell>
          <cell r="H287" t="str">
            <v>FRASCO</v>
          </cell>
          <cell r="I287">
            <v>500</v>
          </cell>
          <cell r="J287" t="str">
            <v>ML</v>
          </cell>
          <cell r="K287" t="str">
            <v>Conformidade</v>
          </cell>
          <cell r="L287">
            <v>3</v>
          </cell>
          <cell r="M287" t="str">
            <v>Venda Livre</v>
          </cell>
          <cell r="N287" t="str">
            <v>Não</v>
          </cell>
          <cell r="O287" t="str">
            <v>Não</v>
          </cell>
          <cell r="P287" t="str">
            <v>Não</v>
          </cell>
          <cell r="Q287" t="str">
            <v>N</v>
          </cell>
          <cell r="R287"/>
          <cell r="S287" t="str">
            <v>Similar</v>
          </cell>
          <cell r="T287" t="str">
            <v>Monitorado</v>
          </cell>
          <cell r="U287"/>
          <cell r="V287" t="str">
            <v>6100-05-6,7647-14-5,50-99-7,CSD</v>
          </cell>
          <cell r="W287"/>
          <cell r="X287"/>
          <cell r="Y287" t="str">
            <v>MG/ML</v>
          </cell>
          <cell r="Z287" t="str">
            <v>09373,02421,04485,CSD</v>
          </cell>
          <cell r="AA287" t="str">
            <v>42 - REPOSITORES ORAIS ELECTROLÍTICOS</v>
          </cell>
          <cell r="AB287" t="str">
            <v>N</v>
          </cell>
          <cell r="AC287" t="str">
            <v>N</v>
          </cell>
          <cell r="AD287">
            <v>0</v>
          </cell>
          <cell r="AE287" t="str">
            <v>N</v>
          </cell>
          <cell r="AF287">
            <v>0</v>
          </cell>
          <cell r="AG287">
            <v>13.67</v>
          </cell>
          <cell r="AH287">
            <v>14.62</v>
          </cell>
          <cell r="AI287">
            <v>0</v>
          </cell>
          <cell r="AJ287">
            <v>14.83</v>
          </cell>
          <cell r="AK287">
            <v>15.04</v>
          </cell>
          <cell r="AL287">
            <v>0</v>
          </cell>
          <cell r="AM287">
            <v>12.7</v>
          </cell>
          <cell r="AN287">
            <v>0</v>
          </cell>
          <cell r="AO287">
            <v>18.23</v>
          </cell>
          <cell r="AP287">
            <v>19.46</v>
          </cell>
          <cell r="AQ287">
            <v>0</v>
          </cell>
          <cell r="AR287">
            <v>19.72</v>
          </cell>
          <cell r="AS287">
            <v>20</v>
          </cell>
          <cell r="AT287">
            <v>0</v>
          </cell>
          <cell r="AU287">
            <v>17.559999999999999</v>
          </cell>
          <cell r="AV287">
            <v>0</v>
          </cell>
          <cell r="AW287">
            <v>13.86</v>
          </cell>
          <cell r="AX287">
            <v>14.82</v>
          </cell>
          <cell r="AY287">
            <v>14.93</v>
          </cell>
          <cell r="AZ287">
            <v>15.03</v>
          </cell>
          <cell r="BA287">
            <v>15.25</v>
          </cell>
          <cell r="BB287">
            <v>15.25</v>
          </cell>
          <cell r="BC287">
            <v>12.9</v>
          </cell>
          <cell r="BD287">
            <v>0</v>
          </cell>
          <cell r="BE287">
            <v>18.510000000000002</v>
          </cell>
          <cell r="BF287">
            <v>19.75</v>
          </cell>
          <cell r="BG287">
            <v>19.899999999999999</v>
          </cell>
          <cell r="BH287">
            <v>20.03</v>
          </cell>
          <cell r="BI287">
            <v>20.309999999999999</v>
          </cell>
          <cell r="BJ287">
            <v>20.59</v>
          </cell>
          <cell r="BK287">
            <v>17.829999999999998</v>
          </cell>
        </row>
        <row r="288">
          <cell r="A288"/>
          <cell r="B288"/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  <cell r="AM288"/>
          <cell r="AN288"/>
          <cell r="AO288"/>
          <cell r="AP288"/>
          <cell r="AQ288"/>
          <cell r="AR288"/>
          <cell r="AS288"/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/>
          <cell r="BG288"/>
          <cell r="BH288"/>
          <cell r="BI288"/>
          <cell r="BJ288"/>
          <cell r="BK288"/>
        </row>
        <row r="289">
          <cell r="A289">
            <v>7891721016226</v>
          </cell>
          <cell r="B289">
            <v>1008903360031</v>
          </cell>
          <cell r="C289">
            <v>525419601136412</v>
          </cell>
          <cell r="D289" t="str">
            <v>FLORALYTE</v>
          </cell>
          <cell r="E289" t="str">
            <v>2,05 MG/ML + 2,16 MG/ML + 0,98 MG/ML + 22,75 MG/ML SOL OR FR PLAS TRANS X 500 ML (SABOR TUTTI-FRUTTI) </v>
          </cell>
          <cell r="F289" t="str">
            <v>SOLUÇÃO ORAL</v>
          </cell>
          <cell r="G289">
            <v>1</v>
          </cell>
          <cell r="H289" t="str">
            <v>FRASCO</v>
          </cell>
          <cell r="I289">
            <v>500</v>
          </cell>
          <cell r="J289" t="str">
            <v>ML</v>
          </cell>
          <cell r="K289" t="str">
            <v>Conformidade</v>
          </cell>
          <cell r="L289">
            <v>3</v>
          </cell>
          <cell r="M289" t="str">
            <v>Venda Livre</v>
          </cell>
          <cell r="N289" t="str">
            <v>Não</v>
          </cell>
          <cell r="O289" t="str">
            <v>Não</v>
          </cell>
          <cell r="P289" t="str">
            <v>Não</v>
          </cell>
          <cell r="Q289" t="str">
            <v>N</v>
          </cell>
          <cell r="R289"/>
          <cell r="S289" t="str">
            <v>Similar</v>
          </cell>
          <cell r="T289" t="str">
            <v>Monitorado</v>
          </cell>
          <cell r="U289"/>
          <cell r="V289" t="str">
            <v>6100-05-6,7647-14-5,50-99-7,CSD</v>
          </cell>
          <cell r="W289"/>
          <cell r="X289"/>
          <cell r="Y289" t="str">
            <v>MG</v>
          </cell>
          <cell r="Z289" t="str">
            <v>09373,02421,04485,CSD</v>
          </cell>
          <cell r="AA289" t="str">
            <v>42 - REPOSITORES ORAIS ELECTROLÍTICOS</v>
          </cell>
          <cell r="AB289" t="str">
            <v>N</v>
          </cell>
          <cell r="AC289" t="str">
            <v>N</v>
          </cell>
          <cell r="AD289">
            <v>0</v>
          </cell>
          <cell r="AE289" t="str">
            <v>N</v>
          </cell>
          <cell r="AF289">
            <v>0</v>
          </cell>
          <cell r="AG289">
            <v>13.67</v>
          </cell>
          <cell r="AH289">
            <v>14.62</v>
          </cell>
          <cell r="AI289">
            <v>0</v>
          </cell>
          <cell r="AJ289">
            <v>14.83</v>
          </cell>
          <cell r="AK289">
            <v>15.04</v>
          </cell>
          <cell r="AL289">
            <v>0</v>
          </cell>
          <cell r="AM289">
            <v>12.7</v>
          </cell>
          <cell r="AN289">
            <v>0</v>
          </cell>
          <cell r="AO289">
            <v>18.23</v>
          </cell>
          <cell r="AP289">
            <v>19.46</v>
          </cell>
          <cell r="AQ289">
            <v>0</v>
          </cell>
          <cell r="AR289">
            <v>19.72</v>
          </cell>
          <cell r="AS289">
            <v>20</v>
          </cell>
          <cell r="AT289">
            <v>0</v>
          </cell>
          <cell r="AU289">
            <v>17.559999999999999</v>
          </cell>
          <cell r="AV289">
            <v>0</v>
          </cell>
          <cell r="AW289">
            <v>13.86</v>
          </cell>
          <cell r="AX289">
            <v>14.82</v>
          </cell>
          <cell r="AY289">
            <v>14.93</v>
          </cell>
          <cell r="AZ289">
            <v>15.03</v>
          </cell>
          <cell r="BA289">
            <v>15.25</v>
          </cell>
          <cell r="BB289">
            <v>15.25</v>
          </cell>
          <cell r="BC289">
            <v>12.9</v>
          </cell>
          <cell r="BD289">
            <v>0</v>
          </cell>
          <cell r="BE289">
            <v>18.510000000000002</v>
          </cell>
          <cell r="BF289">
            <v>19.75</v>
          </cell>
          <cell r="BG289">
            <v>19.899999999999999</v>
          </cell>
          <cell r="BH289">
            <v>20.03</v>
          </cell>
          <cell r="BI289">
            <v>20.309999999999999</v>
          </cell>
          <cell r="BJ289">
            <v>20.59</v>
          </cell>
          <cell r="BK289">
            <v>17.829999999999998</v>
          </cell>
        </row>
        <row r="290">
          <cell r="A290"/>
          <cell r="B290"/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  <cell r="AM290"/>
          <cell r="AN290"/>
          <cell r="AO290"/>
          <cell r="AP290"/>
          <cell r="AQ290"/>
          <cell r="AR290"/>
          <cell r="AS290"/>
          <cell r="AT290"/>
          <cell r="AU290"/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/>
          <cell r="BG290"/>
          <cell r="BH290"/>
          <cell r="BI290"/>
          <cell r="BJ290"/>
          <cell r="BK290"/>
        </row>
        <row r="291">
          <cell r="A291">
            <v>7891721016233</v>
          </cell>
          <cell r="B291">
            <v>1008903360048</v>
          </cell>
          <cell r="C291">
            <v>525419605131415</v>
          </cell>
          <cell r="D291" t="str">
            <v>FLORALYTE</v>
          </cell>
          <cell r="E291" t="str">
            <v>4,68 MG/ML + 2,16 MG/ML + 0,98 MG/ML + 20 MG/ML SOL OR FR PLAS TRANS X 500 ML (SABOR ABACAXI)</v>
          </cell>
          <cell r="F291" t="str">
            <v>SOLUÇÃO ORAL</v>
          </cell>
          <cell r="G291">
            <v>1</v>
          </cell>
          <cell r="H291" t="str">
            <v>FRASCO</v>
          </cell>
          <cell r="I291">
            <v>500</v>
          </cell>
          <cell r="J291" t="str">
            <v>ML</v>
          </cell>
          <cell r="K291" t="str">
            <v>Conformidade</v>
          </cell>
          <cell r="L291">
            <v>3</v>
          </cell>
          <cell r="M291" t="str">
            <v>Venda Livre</v>
          </cell>
          <cell r="N291" t="str">
            <v>Não</v>
          </cell>
          <cell r="O291" t="str">
            <v>Não</v>
          </cell>
          <cell r="P291" t="str">
            <v>Não</v>
          </cell>
          <cell r="Q291" t="str">
            <v>N</v>
          </cell>
          <cell r="R291"/>
          <cell r="S291" t="str">
            <v>Similar</v>
          </cell>
          <cell r="T291" t="str">
            <v>Monitorado</v>
          </cell>
          <cell r="U291"/>
          <cell r="V291" t="str">
            <v>7647-14-5,50-99-7,68-04-2,866-84-2</v>
          </cell>
          <cell r="W291"/>
          <cell r="X291"/>
          <cell r="Y291" t="str">
            <v>MG</v>
          </cell>
          <cell r="Z291" t="str">
            <v>02421,04485,02182,02181</v>
          </cell>
          <cell r="AA291" t="str">
            <v>42 - REPOSITORES ORAIS ELECTROLÍTICOS</v>
          </cell>
          <cell r="AB291" t="str">
            <v>N</v>
          </cell>
          <cell r="AC291" t="str">
            <v>N</v>
          </cell>
          <cell r="AD291">
            <v>0</v>
          </cell>
          <cell r="AE291" t="str">
            <v>N</v>
          </cell>
          <cell r="AF291">
            <v>0</v>
          </cell>
          <cell r="AG291">
            <v>14.33</v>
          </cell>
          <cell r="AH291">
            <v>15.32</v>
          </cell>
          <cell r="AI291">
            <v>0</v>
          </cell>
          <cell r="AJ291">
            <v>15.54</v>
          </cell>
          <cell r="AK291">
            <v>15.76</v>
          </cell>
          <cell r="AL291">
            <v>0</v>
          </cell>
          <cell r="AM291">
            <v>13.34</v>
          </cell>
          <cell r="AN291">
            <v>0</v>
          </cell>
          <cell r="AO291">
            <v>19.14</v>
          </cell>
          <cell r="AP291">
            <v>20.420000000000002</v>
          </cell>
          <cell r="AQ291">
            <v>0</v>
          </cell>
          <cell r="AR291">
            <v>20.7</v>
          </cell>
          <cell r="AS291">
            <v>20.99</v>
          </cell>
          <cell r="AT291">
            <v>0</v>
          </cell>
          <cell r="AU291">
            <v>18.440000000000001</v>
          </cell>
          <cell r="AV291">
            <v>0</v>
          </cell>
          <cell r="AW291">
            <v>14.33</v>
          </cell>
          <cell r="AX291">
            <v>15.32</v>
          </cell>
          <cell r="AY291">
            <v>15.43</v>
          </cell>
          <cell r="AZ291">
            <v>15.54</v>
          </cell>
          <cell r="BA291">
            <v>15.76</v>
          </cell>
          <cell r="BB291">
            <v>15.76</v>
          </cell>
          <cell r="BC291">
            <v>13.34</v>
          </cell>
          <cell r="BD291">
            <v>0</v>
          </cell>
          <cell r="BE291">
            <v>19.14</v>
          </cell>
          <cell r="BF291">
            <v>20.420000000000002</v>
          </cell>
          <cell r="BG291">
            <v>20.56</v>
          </cell>
          <cell r="BH291">
            <v>20.7</v>
          </cell>
          <cell r="BI291">
            <v>20.99</v>
          </cell>
          <cell r="BJ291">
            <v>21.28</v>
          </cell>
          <cell r="BK291">
            <v>18.440000000000001</v>
          </cell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  <cell r="AM292"/>
          <cell r="AN292"/>
          <cell r="AO292"/>
          <cell r="AP292"/>
          <cell r="AQ292"/>
          <cell r="AR292"/>
          <cell r="AS292"/>
          <cell r="AT292"/>
          <cell r="AU292"/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/>
          <cell r="BG292"/>
          <cell r="BH292"/>
          <cell r="BI292"/>
          <cell r="BJ292"/>
          <cell r="BK292"/>
        </row>
        <row r="293">
          <cell r="A293">
            <v>7891721024726</v>
          </cell>
          <cell r="B293">
            <v>1008903360137</v>
          </cell>
          <cell r="C293">
            <v>525419610135415</v>
          </cell>
          <cell r="D293" t="str">
            <v>FLORALYTE</v>
          </cell>
          <cell r="E293" t="str">
            <v>4,68 MG/ML + 2,16 MG/ML + 0,98 MG/ML + 20 MG/ML SOL OR FR PLAS TRANS X 500 ML (SABOR COCO)</v>
          </cell>
          <cell r="F293" t="str">
            <v>SOLUÇÃO ORAL</v>
          </cell>
          <cell r="G293">
            <v>1</v>
          </cell>
          <cell r="H293" t="str">
            <v>FRASCO</v>
          </cell>
          <cell r="I293">
            <v>500</v>
          </cell>
          <cell r="J293" t="str">
            <v>ML</v>
          </cell>
          <cell r="K293" t="str">
            <v>Conformidade</v>
          </cell>
          <cell r="L293">
            <v>3</v>
          </cell>
          <cell r="M293" t="str">
            <v>Venda Livre</v>
          </cell>
          <cell r="N293" t="str">
            <v>Não</v>
          </cell>
          <cell r="O293" t="str">
            <v>Não</v>
          </cell>
          <cell r="P293" t="str">
            <v>Não</v>
          </cell>
          <cell r="Q293" t="str">
            <v>N</v>
          </cell>
          <cell r="R293"/>
          <cell r="S293" t="str">
            <v>Similar</v>
          </cell>
          <cell r="T293" t="str">
            <v>Monitorado</v>
          </cell>
          <cell r="U293"/>
          <cell r="V293" t="str">
            <v>6100-05-6,7647-14-5,50-99-7,CSD</v>
          </cell>
          <cell r="W293"/>
          <cell r="X293"/>
          <cell r="Y293" t="str">
            <v>MG/ML</v>
          </cell>
          <cell r="Z293" t="str">
            <v>09373,02421,04485,CSD</v>
          </cell>
          <cell r="AA293" t="str">
            <v>42 - REPOSITORES ORAIS ELECTROLÍTICOS</v>
          </cell>
          <cell r="AB293" t="str">
            <v>N</v>
          </cell>
          <cell r="AC293" t="str">
            <v>N</v>
          </cell>
          <cell r="AD293">
            <v>0</v>
          </cell>
          <cell r="AE293" t="str">
            <v>N</v>
          </cell>
          <cell r="AF293">
            <v>0</v>
          </cell>
          <cell r="AG293">
            <v>14.32</v>
          </cell>
          <cell r="AH293">
            <v>15.32</v>
          </cell>
          <cell r="AI293">
            <v>0</v>
          </cell>
          <cell r="AJ293">
            <v>15.54</v>
          </cell>
          <cell r="AK293">
            <v>15.76</v>
          </cell>
          <cell r="AL293">
            <v>0</v>
          </cell>
          <cell r="AM293">
            <v>13.31</v>
          </cell>
          <cell r="AN293">
            <v>0</v>
          </cell>
          <cell r="AO293">
            <v>19.100000000000001</v>
          </cell>
          <cell r="AP293">
            <v>20.39</v>
          </cell>
          <cell r="AQ293">
            <v>0</v>
          </cell>
          <cell r="AR293">
            <v>20.67</v>
          </cell>
          <cell r="AS293">
            <v>20.95</v>
          </cell>
          <cell r="AT293">
            <v>0</v>
          </cell>
          <cell r="AU293">
            <v>18.399999999999999</v>
          </cell>
          <cell r="AV293">
            <v>0</v>
          </cell>
          <cell r="AW293">
            <v>14.53</v>
          </cell>
          <cell r="AX293">
            <v>15.53</v>
          </cell>
          <cell r="AY293">
            <v>15.64</v>
          </cell>
          <cell r="AZ293">
            <v>15.75</v>
          </cell>
          <cell r="BA293">
            <v>15.98</v>
          </cell>
          <cell r="BB293">
            <v>15.98</v>
          </cell>
          <cell r="BC293">
            <v>13.52</v>
          </cell>
          <cell r="BD293">
            <v>0</v>
          </cell>
          <cell r="BE293">
            <v>19.41</v>
          </cell>
          <cell r="BF293">
            <v>20.7</v>
          </cell>
          <cell r="BG293">
            <v>20.84</v>
          </cell>
          <cell r="BH293">
            <v>20.99</v>
          </cell>
          <cell r="BI293">
            <v>21.28</v>
          </cell>
          <cell r="BJ293">
            <v>21.58</v>
          </cell>
          <cell r="BK293">
            <v>18.690000000000001</v>
          </cell>
        </row>
        <row r="294">
          <cell r="A294"/>
          <cell r="B294"/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  <cell r="AQ294"/>
          <cell r="AR294"/>
          <cell r="AS294"/>
          <cell r="AT294"/>
          <cell r="AU294"/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/>
          <cell r="BG294"/>
          <cell r="BH294"/>
          <cell r="BI294"/>
          <cell r="BJ294"/>
          <cell r="BK294"/>
        </row>
        <row r="295">
          <cell r="A295">
            <v>7891721022937</v>
          </cell>
          <cell r="B295">
            <v>1008903360102</v>
          </cell>
          <cell r="C295">
            <v>525419606138413</v>
          </cell>
          <cell r="D295" t="str">
            <v>FLORALYTE</v>
          </cell>
          <cell r="E295" t="str">
            <v>4,68 MG/ML + 2,16 MG/ML + 0,98 MG/ML + 20 MG/ML SOL OR FR PLAS TRANS X 500 ML (SABOR NATURAL)</v>
          </cell>
          <cell r="F295" t="str">
            <v>SOLUÇÃO ORAL</v>
          </cell>
          <cell r="G295">
            <v>1</v>
          </cell>
          <cell r="H295" t="str">
            <v>FRASCO</v>
          </cell>
          <cell r="I295">
            <v>500</v>
          </cell>
          <cell r="J295" t="str">
            <v>ML</v>
          </cell>
          <cell r="K295" t="str">
            <v>Conformidade</v>
          </cell>
          <cell r="L295">
            <v>3</v>
          </cell>
          <cell r="M295" t="str">
            <v>Venda Livre</v>
          </cell>
          <cell r="N295" t="str">
            <v>Não</v>
          </cell>
          <cell r="O295" t="str">
            <v>Não</v>
          </cell>
          <cell r="P295" t="str">
            <v>Não</v>
          </cell>
          <cell r="Q295" t="str">
            <v>N</v>
          </cell>
          <cell r="R295"/>
          <cell r="S295" t="str">
            <v>Similar</v>
          </cell>
          <cell r="T295" t="str">
            <v>Monitorado</v>
          </cell>
          <cell r="U295"/>
          <cell r="V295" t="str">
            <v>6100-05-6,7647-14-5,50-99-7,CSD</v>
          </cell>
          <cell r="W295"/>
          <cell r="X295"/>
          <cell r="Y295" t="str">
            <v>MG/ML</v>
          </cell>
          <cell r="Z295" t="str">
            <v>09373,02421,04485,CSD</v>
          </cell>
          <cell r="AA295" t="str">
            <v>42 - REPOSITORES ORAIS ELECTROLÍTICOS</v>
          </cell>
          <cell r="AB295" t="str">
            <v>N</v>
          </cell>
          <cell r="AC295" t="str">
            <v>N</v>
          </cell>
          <cell r="AD295">
            <v>0</v>
          </cell>
          <cell r="AE295" t="str">
            <v>N</v>
          </cell>
          <cell r="AF295">
            <v>0</v>
          </cell>
          <cell r="AG295">
            <v>14.32</v>
          </cell>
          <cell r="AH295">
            <v>15.32</v>
          </cell>
          <cell r="AI295">
            <v>0</v>
          </cell>
          <cell r="AJ295">
            <v>15.54</v>
          </cell>
          <cell r="AK295">
            <v>15.76</v>
          </cell>
          <cell r="AL295">
            <v>0</v>
          </cell>
          <cell r="AM295">
            <v>13.31</v>
          </cell>
          <cell r="AN295">
            <v>0</v>
          </cell>
          <cell r="AO295">
            <v>19.100000000000001</v>
          </cell>
          <cell r="AP295">
            <v>20.39</v>
          </cell>
          <cell r="AQ295">
            <v>0</v>
          </cell>
          <cell r="AR295">
            <v>20.67</v>
          </cell>
          <cell r="AS295">
            <v>20.95</v>
          </cell>
          <cell r="AT295">
            <v>0</v>
          </cell>
          <cell r="AU295">
            <v>18.399999999999999</v>
          </cell>
          <cell r="AV295">
            <v>0</v>
          </cell>
          <cell r="AW295">
            <v>14.53</v>
          </cell>
          <cell r="AX295">
            <v>15.53</v>
          </cell>
          <cell r="AY295">
            <v>15.64</v>
          </cell>
          <cell r="AZ295">
            <v>15.75</v>
          </cell>
          <cell r="BA295">
            <v>15.98</v>
          </cell>
          <cell r="BB295">
            <v>15.98</v>
          </cell>
          <cell r="BC295">
            <v>13.52</v>
          </cell>
          <cell r="BD295">
            <v>0</v>
          </cell>
          <cell r="BE295">
            <v>19.41</v>
          </cell>
          <cell r="BF295">
            <v>20.7</v>
          </cell>
          <cell r="BG295">
            <v>20.84</v>
          </cell>
          <cell r="BH295">
            <v>20.99</v>
          </cell>
          <cell r="BI295">
            <v>21.28</v>
          </cell>
          <cell r="BJ295">
            <v>21.58</v>
          </cell>
          <cell r="BK295">
            <v>18.690000000000001</v>
          </cell>
        </row>
        <row r="296">
          <cell r="A296"/>
          <cell r="B296"/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  <cell r="AM296"/>
          <cell r="AN296"/>
          <cell r="AO296"/>
          <cell r="AP296"/>
          <cell r="AQ296"/>
          <cell r="AR296"/>
          <cell r="AS296"/>
          <cell r="AT296"/>
          <cell r="AU296"/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/>
          <cell r="BG296"/>
          <cell r="BH296"/>
          <cell r="BI296"/>
          <cell r="BJ296"/>
          <cell r="BK296"/>
        </row>
        <row r="297">
          <cell r="A297"/>
          <cell r="B297"/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  <cell r="AM297"/>
          <cell r="AN297"/>
          <cell r="AO297"/>
          <cell r="AP297"/>
          <cell r="AQ297"/>
          <cell r="AR297"/>
          <cell r="AS297"/>
          <cell r="AT297"/>
          <cell r="AU297"/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/>
          <cell r="BG297"/>
          <cell r="BH297"/>
          <cell r="BI297"/>
          <cell r="BJ297"/>
          <cell r="BK297"/>
        </row>
        <row r="298">
          <cell r="A298">
            <v>7891721030413</v>
          </cell>
          <cell r="B298">
            <v>1008900900267</v>
          </cell>
          <cell r="C298">
            <v>525404702111417</v>
          </cell>
          <cell r="D298" t="str">
            <v>FLORATIL</v>
          </cell>
          <cell r="E298" t="str">
            <v>100 MG CAP GEL DURA CART FR VD INC X 12</v>
          </cell>
          <cell r="F298" t="str">
            <v>Cápsula dura</v>
          </cell>
          <cell r="G298"/>
          <cell r="H298"/>
          <cell r="I298">
            <v>12</v>
          </cell>
          <cell r="J298"/>
          <cell r="K298" t="str">
            <v>Conformidade</v>
          </cell>
          <cell r="L298">
            <v>3</v>
          </cell>
          <cell r="M298" t="str">
            <v>Venda Livre</v>
          </cell>
          <cell r="N298" t="str">
            <v>Não</v>
          </cell>
          <cell r="O298" t="str">
            <v>Não</v>
          </cell>
          <cell r="P298" t="str">
            <v>Não</v>
          </cell>
          <cell r="Q298" t="str">
            <v>N</v>
          </cell>
          <cell r="R298"/>
          <cell r="S298" t="str">
            <v>Similar</v>
          </cell>
          <cell r="T298" t="str">
            <v>Monitorado</v>
          </cell>
          <cell r="U298"/>
          <cell r="V298" t="str">
            <v>99999-99-9</v>
          </cell>
          <cell r="W298"/>
          <cell r="X298"/>
          <cell r="Y298" t="str">
            <v>MG</v>
          </cell>
          <cell r="Z298"/>
          <cell r="AA298" t="str">
            <v>41 - ANTIDIARREICOS MICRO-ORGANISMOS</v>
          </cell>
          <cell r="AB298" t="str">
            <v>N</v>
          </cell>
          <cell r="AC298" t="str">
            <v>N</v>
          </cell>
          <cell r="AD298">
            <v>0</v>
          </cell>
          <cell r="AE298" t="str">
            <v>N</v>
          </cell>
          <cell r="AF298">
            <v>0</v>
          </cell>
          <cell r="AG298">
            <v>27</v>
          </cell>
          <cell r="AH298">
            <v>28.88</v>
          </cell>
          <cell r="AI298">
            <v>0</v>
          </cell>
          <cell r="AJ298">
            <v>29.28</v>
          </cell>
          <cell r="AK298">
            <v>29.7</v>
          </cell>
          <cell r="AL298">
            <v>0</v>
          </cell>
          <cell r="AM298">
            <v>25.14</v>
          </cell>
          <cell r="AN298">
            <v>0</v>
          </cell>
          <cell r="AO298">
            <v>36.07</v>
          </cell>
          <cell r="AP298">
            <v>38.49</v>
          </cell>
          <cell r="AQ298">
            <v>0</v>
          </cell>
          <cell r="AR298">
            <v>39.020000000000003</v>
          </cell>
          <cell r="AS298">
            <v>39.549999999999997</v>
          </cell>
          <cell r="AT298">
            <v>0</v>
          </cell>
          <cell r="AU298">
            <v>34.75</v>
          </cell>
          <cell r="AV298">
            <v>0</v>
          </cell>
          <cell r="AW298">
            <v>27.37</v>
          </cell>
          <cell r="AX298">
            <v>29.27</v>
          </cell>
          <cell r="AY298">
            <v>29.47</v>
          </cell>
          <cell r="AZ298">
            <v>29.68</v>
          </cell>
          <cell r="BA298">
            <v>30.1</v>
          </cell>
          <cell r="BB298">
            <v>30.1</v>
          </cell>
          <cell r="BC298">
            <v>25.48</v>
          </cell>
          <cell r="BD298">
            <v>0</v>
          </cell>
          <cell r="BE298">
            <v>36.56</v>
          </cell>
          <cell r="BF298">
            <v>39.01</v>
          </cell>
          <cell r="BG298">
            <v>39.270000000000003</v>
          </cell>
          <cell r="BH298">
            <v>39.54</v>
          </cell>
          <cell r="BI298">
            <v>40.08</v>
          </cell>
          <cell r="BJ298">
            <v>40.65</v>
          </cell>
          <cell r="BK298">
            <v>35.22</v>
          </cell>
        </row>
        <row r="299">
          <cell r="A299">
            <v>7891721020933</v>
          </cell>
          <cell r="B299">
            <v>1008900900513</v>
          </cell>
          <cell r="C299">
            <v>525404708118413</v>
          </cell>
          <cell r="D299" t="str">
            <v>FLORATIL</v>
          </cell>
          <cell r="E299" t="str">
            <v>100 MG CAP GEL DURA CT BL AL AL X 12</v>
          </cell>
          <cell r="F299" t="str">
            <v>Cápsula dura</v>
          </cell>
          <cell r="G299"/>
          <cell r="H299"/>
          <cell r="I299">
            <v>12</v>
          </cell>
          <cell r="J299"/>
          <cell r="K299" t="str">
            <v>Conformidade</v>
          </cell>
          <cell r="L299">
            <v>3</v>
          </cell>
          <cell r="M299" t="str">
            <v>Venda Livre</v>
          </cell>
          <cell r="N299" t="str">
            <v>Não</v>
          </cell>
          <cell r="O299" t="str">
            <v>Não</v>
          </cell>
          <cell r="P299" t="str">
            <v>Não</v>
          </cell>
          <cell r="Q299" t="str">
            <v>N</v>
          </cell>
          <cell r="R299"/>
          <cell r="S299" t="str">
            <v>Similar</v>
          </cell>
          <cell r="T299" t="str">
            <v>Monitorado</v>
          </cell>
          <cell r="U299"/>
          <cell r="V299" t="str">
            <v>99999-99-9</v>
          </cell>
          <cell r="W299"/>
          <cell r="X299"/>
          <cell r="Y299" t="str">
            <v>MG</v>
          </cell>
          <cell r="Z299"/>
          <cell r="AA299" t="str">
            <v>41 - ANTIDIARREICOS MICRO-ORGANISMOS</v>
          </cell>
          <cell r="AB299" t="str">
            <v>N</v>
          </cell>
          <cell r="AC299" t="str">
            <v>N</v>
          </cell>
          <cell r="AD299">
            <v>0</v>
          </cell>
          <cell r="AE299" t="str">
            <v>N</v>
          </cell>
          <cell r="AF299">
            <v>0</v>
          </cell>
          <cell r="AG299">
            <v>27.02</v>
          </cell>
          <cell r="AH299">
            <v>28.89</v>
          </cell>
          <cell r="AI299">
            <v>0</v>
          </cell>
          <cell r="AJ299">
            <v>29.3</v>
          </cell>
          <cell r="AK299">
            <v>29.71</v>
          </cell>
          <cell r="AL299">
            <v>0</v>
          </cell>
          <cell r="AM299">
            <v>25.15</v>
          </cell>
          <cell r="AN299">
            <v>0</v>
          </cell>
          <cell r="AO299">
            <v>36.090000000000003</v>
          </cell>
          <cell r="AP299">
            <v>38.51</v>
          </cell>
          <cell r="AQ299">
            <v>0</v>
          </cell>
          <cell r="AR299">
            <v>39.03</v>
          </cell>
          <cell r="AS299">
            <v>39.56</v>
          </cell>
          <cell r="AT299">
            <v>0</v>
          </cell>
          <cell r="AU299">
            <v>34.770000000000003</v>
          </cell>
          <cell r="AV299">
            <v>0</v>
          </cell>
          <cell r="AW299">
            <v>27.02</v>
          </cell>
          <cell r="AX299">
            <v>28.89</v>
          </cell>
          <cell r="AY299">
            <v>29.1</v>
          </cell>
          <cell r="AZ299">
            <v>29.3</v>
          </cell>
          <cell r="BA299">
            <v>29.72</v>
          </cell>
          <cell r="BB299">
            <v>29.72</v>
          </cell>
          <cell r="BC299">
            <v>25.15</v>
          </cell>
          <cell r="BD299">
            <v>0</v>
          </cell>
          <cell r="BE299">
            <v>36.090000000000003</v>
          </cell>
          <cell r="BF299">
            <v>38.51</v>
          </cell>
          <cell r="BG299">
            <v>38.78</v>
          </cell>
          <cell r="BH299">
            <v>39.04</v>
          </cell>
          <cell r="BI299">
            <v>39.58</v>
          </cell>
          <cell r="BJ299">
            <v>40.130000000000003</v>
          </cell>
          <cell r="BK299">
            <v>34.770000000000003</v>
          </cell>
        </row>
        <row r="300">
          <cell r="A300"/>
          <cell r="B300"/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  <cell r="AQ300"/>
          <cell r="AR300"/>
          <cell r="AS300"/>
          <cell r="AT300"/>
          <cell r="AU300"/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/>
          <cell r="BG300"/>
          <cell r="BH300"/>
          <cell r="BI300"/>
          <cell r="BJ300"/>
          <cell r="BK300"/>
        </row>
        <row r="301">
          <cell r="A301"/>
          <cell r="B301"/>
          <cell r="C301"/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  <cell r="AQ301"/>
          <cell r="AR301"/>
          <cell r="AS301"/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/>
          <cell r="BG301"/>
          <cell r="BH301"/>
          <cell r="BI301"/>
          <cell r="BJ301"/>
          <cell r="BK301"/>
        </row>
        <row r="302">
          <cell r="A302">
            <v>7891721021046</v>
          </cell>
          <cell r="B302">
            <v>1008900900637</v>
          </cell>
          <cell r="C302">
            <v>525404721114418</v>
          </cell>
          <cell r="D302" t="str">
            <v>FLORATIL</v>
          </cell>
          <cell r="E302" t="str">
            <v>200 MG + 250 MG CAP GEL DURA CT BL AL AL 3 CAP X 200 MG + 3 CAP X 250 MG</v>
          </cell>
          <cell r="F302" t="str">
            <v>Cápsula dura</v>
          </cell>
          <cell r="G302"/>
          <cell r="H302"/>
          <cell r="I302">
            <v>3</v>
          </cell>
          <cell r="J302"/>
          <cell r="K302" t="str">
            <v>Conformidade</v>
          </cell>
          <cell r="L302">
            <v>3</v>
          </cell>
          <cell r="M302" t="str">
            <v>Venda Livre</v>
          </cell>
          <cell r="N302" t="str">
            <v>Não</v>
          </cell>
          <cell r="O302" t="str">
            <v>Não</v>
          </cell>
          <cell r="P302" t="str">
            <v>Não</v>
          </cell>
          <cell r="Q302" t="str">
            <v>N</v>
          </cell>
          <cell r="R302"/>
          <cell r="S302" t="str">
            <v>Similar</v>
          </cell>
          <cell r="T302" t="str">
            <v>Monitorado</v>
          </cell>
          <cell r="U302"/>
          <cell r="V302" t="str">
            <v>99999-99-9</v>
          </cell>
          <cell r="W302"/>
          <cell r="X302"/>
          <cell r="Y302" t="str">
            <v>MG</v>
          </cell>
          <cell r="Z302"/>
          <cell r="AA302" t="str">
            <v>41 - ANTIDIARREICOS MICRO-ORGANISMOS</v>
          </cell>
          <cell r="AB302" t="str">
            <v>N</v>
          </cell>
          <cell r="AC302" t="str">
            <v>N</v>
          </cell>
          <cell r="AD302">
            <v>0</v>
          </cell>
          <cell r="AE302" t="str">
            <v>N</v>
          </cell>
          <cell r="AF302">
            <v>0</v>
          </cell>
          <cell r="AG302">
            <v>30.37</v>
          </cell>
          <cell r="AH302">
            <v>32.47</v>
          </cell>
          <cell r="AI302">
            <v>0</v>
          </cell>
          <cell r="AJ302">
            <v>32.93</v>
          </cell>
          <cell r="AK302">
            <v>33.4</v>
          </cell>
          <cell r="AL302">
            <v>0</v>
          </cell>
          <cell r="AM302">
            <v>28.27</v>
          </cell>
          <cell r="AN302">
            <v>0</v>
          </cell>
          <cell r="AO302">
            <v>40.57</v>
          </cell>
          <cell r="AP302">
            <v>43.28</v>
          </cell>
          <cell r="AQ302">
            <v>0</v>
          </cell>
          <cell r="AR302">
            <v>43.87</v>
          </cell>
          <cell r="AS302">
            <v>44.48</v>
          </cell>
          <cell r="AT302">
            <v>0</v>
          </cell>
          <cell r="AU302">
            <v>39.08</v>
          </cell>
          <cell r="AV302">
            <v>0</v>
          </cell>
          <cell r="AW302">
            <v>30.78</v>
          </cell>
          <cell r="AX302">
            <v>32.909999999999997</v>
          </cell>
          <cell r="AY302">
            <v>33.14</v>
          </cell>
          <cell r="AZ302">
            <v>33.380000000000003</v>
          </cell>
          <cell r="BA302">
            <v>33.85</v>
          </cell>
          <cell r="BB302">
            <v>33.85</v>
          </cell>
          <cell r="BC302">
            <v>28.65</v>
          </cell>
          <cell r="BD302">
            <v>0</v>
          </cell>
          <cell r="BE302">
            <v>41.12</v>
          </cell>
          <cell r="BF302">
            <v>43.87</v>
          </cell>
          <cell r="BG302">
            <v>44.16</v>
          </cell>
          <cell r="BH302">
            <v>44.47</v>
          </cell>
          <cell r="BI302">
            <v>45.08</v>
          </cell>
          <cell r="BJ302">
            <v>45.71</v>
          </cell>
          <cell r="BK302">
            <v>39.61</v>
          </cell>
        </row>
        <row r="303">
          <cell r="A303"/>
          <cell r="B303"/>
          <cell r="C303"/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  <cell r="AM303"/>
          <cell r="AN303"/>
          <cell r="AO303"/>
          <cell r="AP303"/>
          <cell r="AQ303"/>
          <cell r="AR303"/>
          <cell r="AS303"/>
          <cell r="AT303"/>
          <cell r="AU303"/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/>
          <cell r="BG303"/>
          <cell r="BH303"/>
          <cell r="BI303"/>
          <cell r="BJ303"/>
          <cell r="BK303"/>
        </row>
        <row r="304">
          <cell r="A304">
            <v>7891721021039</v>
          </cell>
          <cell r="B304">
            <v>1008900900645</v>
          </cell>
          <cell r="C304">
            <v>525404723117414</v>
          </cell>
          <cell r="D304" t="str">
            <v>FLORATIL</v>
          </cell>
          <cell r="E304" t="str">
            <v>200 MG + 250 MG CAP GEL DURA CT BL AL AL 6 CAP X 200 MG + 6 CAP X 250 MG</v>
          </cell>
          <cell r="F304" t="str">
            <v>Cápsula dura</v>
          </cell>
          <cell r="G304"/>
          <cell r="H304"/>
          <cell r="I304">
            <v>3</v>
          </cell>
          <cell r="J304"/>
          <cell r="K304" t="str">
            <v>Conformidade</v>
          </cell>
          <cell r="L304">
            <v>3</v>
          </cell>
          <cell r="M304" t="str">
            <v>Venda Livre</v>
          </cell>
          <cell r="N304" t="str">
            <v>Não</v>
          </cell>
          <cell r="O304" t="str">
            <v>Não</v>
          </cell>
          <cell r="P304" t="str">
            <v>Não</v>
          </cell>
          <cell r="Q304" t="str">
            <v>N</v>
          </cell>
          <cell r="R304"/>
          <cell r="S304" t="str">
            <v>Similar</v>
          </cell>
          <cell r="T304" t="str">
            <v>Monitorado</v>
          </cell>
          <cell r="U304"/>
          <cell r="V304" t="str">
            <v>99999-99-9</v>
          </cell>
          <cell r="W304"/>
          <cell r="X304"/>
          <cell r="Y304" t="str">
            <v>MG</v>
          </cell>
          <cell r="Z304"/>
          <cell r="AA304" t="str">
            <v>41 - ANTIDIARREICOS MICRO-ORGANISMOS</v>
          </cell>
          <cell r="AB304" t="str">
            <v>N</v>
          </cell>
          <cell r="AC304" t="str">
            <v>N</v>
          </cell>
          <cell r="AD304">
            <v>0</v>
          </cell>
          <cell r="AE304" t="str">
            <v>N</v>
          </cell>
          <cell r="AF304">
            <v>0</v>
          </cell>
          <cell r="AG304">
            <v>60.74</v>
          </cell>
          <cell r="AH304">
            <v>64.959999999999994</v>
          </cell>
          <cell r="AI304">
            <v>0</v>
          </cell>
          <cell r="AJ304">
            <v>65.87</v>
          </cell>
          <cell r="AK304">
            <v>66.81</v>
          </cell>
          <cell r="AL304">
            <v>0</v>
          </cell>
          <cell r="AM304">
            <v>56.55</v>
          </cell>
          <cell r="AN304">
            <v>0</v>
          </cell>
          <cell r="AO304">
            <v>81.14</v>
          </cell>
          <cell r="AP304">
            <v>86.59</v>
          </cell>
          <cell r="AQ304">
            <v>0</v>
          </cell>
          <cell r="AR304">
            <v>87.76</v>
          </cell>
          <cell r="AS304">
            <v>88.97</v>
          </cell>
          <cell r="AT304">
            <v>0</v>
          </cell>
          <cell r="AU304">
            <v>78.180000000000007</v>
          </cell>
          <cell r="AV304">
            <v>0</v>
          </cell>
          <cell r="AW304">
            <v>61.57</v>
          </cell>
          <cell r="AX304">
            <v>65.84</v>
          </cell>
          <cell r="AY304">
            <v>66.3</v>
          </cell>
          <cell r="AZ304">
            <v>66.77</v>
          </cell>
          <cell r="BA304">
            <v>67.72</v>
          </cell>
          <cell r="BB304">
            <v>67.72</v>
          </cell>
          <cell r="BC304">
            <v>57.31</v>
          </cell>
          <cell r="BD304">
            <v>0</v>
          </cell>
          <cell r="BE304">
            <v>82.24</v>
          </cell>
          <cell r="BF304">
            <v>87.76</v>
          </cell>
          <cell r="BG304">
            <v>88.35</v>
          </cell>
          <cell r="BH304">
            <v>88.95</v>
          </cell>
          <cell r="BI304">
            <v>90.18</v>
          </cell>
          <cell r="BJ304">
            <v>91.44</v>
          </cell>
          <cell r="BK304">
            <v>79.23</v>
          </cell>
        </row>
        <row r="305">
          <cell r="A305"/>
          <cell r="B305"/>
          <cell r="C305"/>
          <cell r="D305"/>
          <cell r="E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  <cell r="AM305"/>
          <cell r="AN305"/>
          <cell r="AO305"/>
          <cell r="AP305"/>
          <cell r="AQ305"/>
          <cell r="AR305"/>
          <cell r="AS305"/>
          <cell r="AT305"/>
          <cell r="AU305"/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/>
          <cell r="BG305"/>
          <cell r="BH305"/>
          <cell r="BI305"/>
          <cell r="BJ305"/>
          <cell r="BK305"/>
        </row>
        <row r="306">
          <cell r="A306">
            <v>7891721020940</v>
          </cell>
          <cell r="B306">
            <v>1008900900483</v>
          </cell>
          <cell r="C306">
            <v>525404711119417</v>
          </cell>
          <cell r="D306" t="str">
            <v>FLORATIL</v>
          </cell>
          <cell r="E306" t="str">
            <v>200 MG CAP GEL DURA CT BL AL AL X 6</v>
          </cell>
          <cell r="F306" t="str">
            <v>Cápsula dura</v>
          </cell>
          <cell r="G306"/>
          <cell r="H306"/>
          <cell r="I306">
            <v>6</v>
          </cell>
          <cell r="J306"/>
          <cell r="K306" t="str">
            <v>Conformidade</v>
          </cell>
          <cell r="L306">
            <v>3</v>
          </cell>
          <cell r="M306" t="str">
            <v>Venda Livre</v>
          </cell>
          <cell r="N306" t="str">
            <v>Não</v>
          </cell>
          <cell r="O306" t="str">
            <v>Não</v>
          </cell>
          <cell r="P306" t="str">
            <v>Não</v>
          </cell>
          <cell r="Q306" t="str">
            <v>N</v>
          </cell>
          <cell r="R306"/>
          <cell r="S306" t="str">
            <v>Similar</v>
          </cell>
          <cell r="T306" t="str">
            <v>Monitorado</v>
          </cell>
          <cell r="U306"/>
          <cell r="V306" t="str">
            <v>99999-99-9</v>
          </cell>
          <cell r="W306"/>
          <cell r="X306"/>
          <cell r="Y306" t="str">
            <v>MG</v>
          </cell>
          <cell r="Z306"/>
          <cell r="AA306" t="str">
            <v>41 - ANTIDIARREICOS MICRO-ORGANISMOS</v>
          </cell>
          <cell r="AB306" t="str">
            <v>N</v>
          </cell>
          <cell r="AC306" t="str">
            <v>N</v>
          </cell>
          <cell r="AD306">
            <v>0</v>
          </cell>
          <cell r="AE306" t="str">
            <v>N</v>
          </cell>
          <cell r="AF306">
            <v>0</v>
          </cell>
          <cell r="AG306">
            <v>27.02</v>
          </cell>
          <cell r="AH306">
            <v>28.89</v>
          </cell>
          <cell r="AI306">
            <v>0</v>
          </cell>
          <cell r="AJ306">
            <v>29.3</v>
          </cell>
          <cell r="AK306">
            <v>29.71</v>
          </cell>
          <cell r="AL306">
            <v>0</v>
          </cell>
          <cell r="AM306">
            <v>25.15</v>
          </cell>
          <cell r="AN306">
            <v>0</v>
          </cell>
          <cell r="AO306">
            <v>36.090000000000003</v>
          </cell>
          <cell r="AP306">
            <v>38.51</v>
          </cell>
          <cell r="AQ306">
            <v>0</v>
          </cell>
          <cell r="AR306">
            <v>39.03</v>
          </cell>
          <cell r="AS306">
            <v>39.56</v>
          </cell>
          <cell r="AT306">
            <v>0</v>
          </cell>
          <cell r="AU306">
            <v>34.770000000000003</v>
          </cell>
          <cell r="AV306">
            <v>0</v>
          </cell>
          <cell r="AW306">
            <v>27.02</v>
          </cell>
          <cell r="AX306">
            <v>28.89</v>
          </cell>
          <cell r="AY306">
            <v>29.1</v>
          </cell>
          <cell r="AZ306">
            <v>29.3</v>
          </cell>
          <cell r="BA306">
            <v>29.72</v>
          </cell>
          <cell r="BB306">
            <v>29.72</v>
          </cell>
          <cell r="BC306">
            <v>25.15</v>
          </cell>
          <cell r="BD306">
            <v>0</v>
          </cell>
          <cell r="BE306">
            <v>36.090000000000003</v>
          </cell>
          <cell r="BF306">
            <v>38.51</v>
          </cell>
          <cell r="BG306">
            <v>38.78</v>
          </cell>
          <cell r="BH306">
            <v>39.04</v>
          </cell>
          <cell r="BI306">
            <v>39.58</v>
          </cell>
          <cell r="BJ306">
            <v>40.130000000000003</v>
          </cell>
          <cell r="BK306">
            <v>34.770000000000003</v>
          </cell>
        </row>
        <row r="307">
          <cell r="A307"/>
          <cell r="B307"/>
          <cell r="C307"/>
          <cell r="D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  <cell r="AM307"/>
          <cell r="AN307"/>
          <cell r="AO307"/>
          <cell r="AP307"/>
          <cell r="AQ307"/>
          <cell r="AR307"/>
          <cell r="AS307"/>
          <cell r="AT307"/>
          <cell r="AU307"/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/>
          <cell r="BG307"/>
          <cell r="BH307"/>
          <cell r="BI307"/>
          <cell r="BJ307"/>
          <cell r="BK307"/>
        </row>
        <row r="308">
          <cell r="A308"/>
          <cell r="B308"/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  <cell r="AQ308"/>
          <cell r="AR308"/>
          <cell r="AS308"/>
          <cell r="AT308"/>
          <cell r="AU308"/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/>
          <cell r="BG308"/>
          <cell r="BH308"/>
          <cell r="BI308"/>
          <cell r="BJ308"/>
          <cell r="BK308"/>
        </row>
        <row r="309">
          <cell r="A309">
            <v>7891721019067</v>
          </cell>
          <cell r="B309">
            <v>1008900900459</v>
          </cell>
          <cell r="C309">
            <v>525404724131410</v>
          </cell>
          <cell r="D309" t="str">
            <v>FLORATIL</v>
          </cell>
          <cell r="E309" t="str">
            <v>200 MG/G + 250 MG/1,25 G PO ORAL CART 3 SACH X 1 G + 3 SACH X 1,25 G</v>
          </cell>
          <cell r="F309" t="str">
            <v>PÓ ORAL</v>
          </cell>
          <cell r="G309"/>
          <cell r="H309"/>
          <cell r="I309">
            <v>6</v>
          </cell>
          <cell r="J309"/>
          <cell r="K309" t="str">
            <v>Conformidade</v>
          </cell>
          <cell r="L309">
            <v>3</v>
          </cell>
          <cell r="M309" t="str">
            <v>Venda Livre</v>
          </cell>
          <cell r="N309" t="str">
            <v>Não</v>
          </cell>
          <cell r="O309" t="str">
            <v>Não</v>
          </cell>
          <cell r="P309" t="str">
            <v>Não</v>
          </cell>
          <cell r="Q309" t="str">
            <v>N</v>
          </cell>
          <cell r="R309"/>
          <cell r="S309" t="str">
            <v>Similar</v>
          </cell>
          <cell r="T309" t="str">
            <v>Monitorado</v>
          </cell>
          <cell r="U309"/>
          <cell r="V309" t="str">
            <v>99999-99-9</v>
          </cell>
          <cell r="W309"/>
          <cell r="X309"/>
          <cell r="Y309" t="str">
            <v>MG/G</v>
          </cell>
          <cell r="Z309"/>
          <cell r="AA309" t="str">
            <v>41 - ANTIDIARREICOS MICRO-ORGANISMOS</v>
          </cell>
          <cell r="AB309" t="str">
            <v>N</v>
          </cell>
          <cell r="AC309" t="str">
            <v>N</v>
          </cell>
          <cell r="AD309">
            <v>0</v>
          </cell>
          <cell r="AE309" t="str">
            <v>N</v>
          </cell>
          <cell r="AF309">
            <v>0</v>
          </cell>
          <cell r="AG309">
            <v>28.9</v>
          </cell>
          <cell r="AH309">
            <v>30.91</v>
          </cell>
          <cell r="AI309">
            <v>0</v>
          </cell>
          <cell r="AJ309">
            <v>31.34</v>
          </cell>
          <cell r="AK309">
            <v>31.79</v>
          </cell>
          <cell r="AL309">
            <v>0</v>
          </cell>
          <cell r="AM309">
            <v>26.91</v>
          </cell>
          <cell r="AN309">
            <v>0</v>
          </cell>
          <cell r="AO309">
            <v>38.6</v>
          </cell>
          <cell r="AP309">
            <v>41.2</v>
          </cell>
          <cell r="AQ309">
            <v>0</v>
          </cell>
          <cell r="AR309">
            <v>41.76</v>
          </cell>
          <cell r="AS309">
            <v>42.33</v>
          </cell>
          <cell r="AT309">
            <v>0</v>
          </cell>
          <cell r="AU309">
            <v>37.200000000000003</v>
          </cell>
          <cell r="AV309">
            <v>0</v>
          </cell>
          <cell r="AW309">
            <v>29.29</v>
          </cell>
          <cell r="AX309">
            <v>31.32</v>
          </cell>
          <cell r="AY309">
            <v>31.54</v>
          </cell>
          <cell r="AZ309">
            <v>31.77</v>
          </cell>
          <cell r="BA309">
            <v>32.22</v>
          </cell>
          <cell r="BB309">
            <v>32.22</v>
          </cell>
          <cell r="BC309">
            <v>27.27</v>
          </cell>
          <cell r="BD309">
            <v>0</v>
          </cell>
          <cell r="BE309">
            <v>39.130000000000003</v>
          </cell>
          <cell r="BF309">
            <v>41.75</v>
          </cell>
          <cell r="BG309">
            <v>42.03</v>
          </cell>
          <cell r="BH309">
            <v>42.32</v>
          </cell>
          <cell r="BI309">
            <v>42.91</v>
          </cell>
          <cell r="BJ309">
            <v>43.5</v>
          </cell>
          <cell r="BK309">
            <v>37.700000000000003</v>
          </cell>
        </row>
        <row r="310">
          <cell r="A310"/>
          <cell r="B310"/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  <cell r="AM310"/>
          <cell r="AN310"/>
          <cell r="AO310"/>
          <cell r="AP310"/>
          <cell r="AQ310"/>
          <cell r="AR310"/>
          <cell r="AS310"/>
          <cell r="AT310"/>
          <cell r="AU310"/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/>
          <cell r="BG310"/>
          <cell r="BH310"/>
          <cell r="BI310"/>
          <cell r="BJ310"/>
          <cell r="BK310"/>
        </row>
        <row r="311">
          <cell r="A311">
            <v>7891721019074</v>
          </cell>
          <cell r="B311">
            <v>1008900900467</v>
          </cell>
          <cell r="C311">
            <v>525404722137411</v>
          </cell>
          <cell r="D311" t="str">
            <v>FLORATIL</v>
          </cell>
          <cell r="E311" t="str">
            <v>200 MG/G + 250 MG/1,25 G PO ORAL CART 6 SACH X 1 G + 6 SACH X 1,25 G</v>
          </cell>
          <cell r="F311" t="str">
            <v>PÓ ORAL</v>
          </cell>
          <cell r="G311"/>
          <cell r="H311"/>
          <cell r="I311">
            <v>6</v>
          </cell>
          <cell r="J311"/>
          <cell r="K311" t="str">
            <v>Conformidade</v>
          </cell>
          <cell r="L311">
            <v>3</v>
          </cell>
          <cell r="M311" t="str">
            <v>Venda Livre</v>
          </cell>
          <cell r="N311" t="str">
            <v>Não</v>
          </cell>
          <cell r="O311" t="str">
            <v>Não</v>
          </cell>
          <cell r="P311" t="str">
            <v>Não</v>
          </cell>
          <cell r="Q311" t="str">
            <v>N</v>
          </cell>
          <cell r="R311"/>
          <cell r="S311" t="str">
            <v>Similar</v>
          </cell>
          <cell r="T311" t="str">
            <v>Monitorado</v>
          </cell>
          <cell r="U311"/>
          <cell r="V311" t="str">
            <v>99999-99-9</v>
          </cell>
          <cell r="W311"/>
          <cell r="X311"/>
          <cell r="Y311" t="str">
            <v>MG/G</v>
          </cell>
          <cell r="Z311"/>
          <cell r="AA311" t="str">
            <v>41 - ANTIDIARREICOS MICRO-ORGANISMOS</v>
          </cell>
          <cell r="AB311" t="str">
            <v>N</v>
          </cell>
          <cell r="AC311" t="str">
            <v>N</v>
          </cell>
          <cell r="AD311">
            <v>0</v>
          </cell>
          <cell r="AE311" t="str">
            <v>N</v>
          </cell>
          <cell r="AF311">
            <v>0</v>
          </cell>
          <cell r="AG311">
            <v>57.78</v>
          </cell>
          <cell r="AH311">
            <v>61.78</v>
          </cell>
          <cell r="AI311">
            <v>0</v>
          </cell>
          <cell r="AJ311">
            <v>62.65</v>
          </cell>
          <cell r="AK311">
            <v>63.55</v>
          </cell>
          <cell r="AL311">
            <v>0</v>
          </cell>
          <cell r="AM311">
            <v>53.78</v>
          </cell>
          <cell r="AN311">
            <v>0</v>
          </cell>
          <cell r="AO311">
            <v>77.180000000000007</v>
          </cell>
          <cell r="AP311">
            <v>82.35</v>
          </cell>
          <cell r="AQ311">
            <v>0</v>
          </cell>
          <cell r="AR311">
            <v>83.47</v>
          </cell>
          <cell r="AS311">
            <v>84.63</v>
          </cell>
          <cell r="AT311">
            <v>0</v>
          </cell>
          <cell r="AU311">
            <v>74.349999999999994</v>
          </cell>
          <cell r="AV311">
            <v>0</v>
          </cell>
          <cell r="AW311">
            <v>58.56</v>
          </cell>
          <cell r="AX311">
            <v>62.62</v>
          </cell>
          <cell r="AY311">
            <v>63.06</v>
          </cell>
          <cell r="AZ311">
            <v>63.5</v>
          </cell>
          <cell r="BA311">
            <v>64.41</v>
          </cell>
          <cell r="BB311">
            <v>64.41</v>
          </cell>
          <cell r="BC311">
            <v>54.51</v>
          </cell>
          <cell r="BD311">
            <v>0</v>
          </cell>
          <cell r="BE311">
            <v>78.22</v>
          </cell>
          <cell r="BF311">
            <v>83.47</v>
          </cell>
          <cell r="BG311">
            <v>84.03</v>
          </cell>
          <cell r="BH311">
            <v>84.6</v>
          </cell>
          <cell r="BI311">
            <v>85.77</v>
          </cell>
          <cell r="BJ311">
            <v>86.97</v>
          </cell>
          <cell r="BK311">
            <v>75.36</v>
          </cell>
        </row>
        <row r="312">
          <cell r="A312"/>
          <cell r="B312"/>
          <cell r="C312"/>
          <cell r="D312"/>
          <cell r="E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/>
          <cell r="AN312"/>
          <cell r="AO312"/>
          <cell r="AP312"/>
          <cell r="AQ312"/>
          <cell r="AR312"/>
          <cell r="AS312"/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/>
          <cell r="BG312"/>
          <cell r="BH312"/>
          <cell r="BI312"/>
          <cell r="BJ312"/>
          <cell r="BK312"/>
        </row>
        <row r="313">
          <cell r="A313">
            <v>7891721018893</v>
          </cell>
          <cell r="B313">
            <v>1008900900394</v>
          </cell>
          <cell r="C313">
            <v>525404707138410</v>
          </cell>
          <cell r="D313" t="str">
            <v>FLORATIL</v>
          </cell>
          <cell r="E313" t="str">
            <v>200 MG/G PO OR CART 25 SACH X 1 G (EMB FRAC) </v>
          </cell>
          <cell r="F313" t="str">
            <v>PÓ ORAL</v>
          </cell>
          <cell r="G313">
            <v>25</v>
          </cell>
          <cell r="H313" t="str">
            <v>SACHÊ</v>
          </cell>
          <cell r="I313">
            <v>25</v>
          </cell>
          <cell r="J313" t="str">
            <v>G</v>
          </cell>
          <cell r="K313" t="str">
            <v>Conformidade</v>
          </cell>
          <cell r="L313">
            <v>3</v>
          </cell>
          <cell r="M313" t="str">
            <v>Venda Livre</v>
          </cell>
          <cell r="N313" t="str">
            <v>Não</v>
          </cell>
          <cell r="O313" t="str">
            <v>Não</v>
          </cell>
          <cell r="P313" t="str">
            <v>Não</v>
          </cell>
          <cell r="Q313" t="str">
            <v>N</v>
          </cell>
          <cell r="R313"/>
          <cell r="S313" t="str">
            <v>Similar</v>
          </cell>
          <cell r="T313" t="str">
            <v>Monitorado</v>
          </cell>
          <cell r="U313"/>
          <cell r="V313" t="str">
            <v>99999-99-9</v>
          </cell>
          <cell r="W313"/>
          <cell r="X313"/>
          <cell r="Y313" t="str">
            <v>MG/G</v>
          </cell>
          <cell r="Z313"/>
          <cell r="AA313" t="str">
            <v>41 - ANTIDIARREICOS MICRO-ORGANISMOS</v>
          </cell>
          <cell r="AB313" t="str">
            <v>N</v>
          </cell>
          <cell r="AC313" t="str">
            <v>S</v>
          </cell>
          <cell r="AD313">
            <v>25</v>
          </cell>
          <cell r="AE313" t="str">
            <v>N</v>
          </cell>
          <cell r="AF313">
            <v>0</v>
          </cell>
          <cell r="AG313">
            <v>99.82</v>
          </cell>
          <cell r="AH313">
            <v>106.75</v>
          </cell>
          <cell r="AI313">
            <v>0</v>
          </cell>
          <cell r="AJ313">
            <v>108.25</v>
          </cell>
          <cell r="AK313">
            <v>109.79</v>
          </cell>
          <cell r="AL313">
            <v>0</v>
          </cell>
          <cell r="AM313">
            <v>92.93</v>
          </cell>
          <cell r="AN313">
            <v>0</v>
          </cell>
          <cell r="AO313">
            <v>133.34</v>
          </cell>
          <cell r="AP313">
            <v>142.29</v>
          </cell>
          <cell r="AQ313">
            <v>0</v>
          </cell>
          <cell r="AR313">
            <v>144.22</v>
          </cell>
          <cell r="AS313">
            <v>146.19999999999999</v>
          </cell>
          <cell r="AT313">
            <v>0</v>
          </cell>
          <cell r="AU313">
            <v>128.47</v>
          </cell>
          <cell r="AV313">
            <v>0</v>
          </cell>
          <cell r="AW313">
            <v>101.18</v>
          </cell>
          <cell r="AX313">
            <v>108.2</v>
          </cell>
          <cell r="AY313">
            <v>108.95</v>
          </cell>
          <cell r="AZ313">
            <v>109.72</v>
          </cell>
          <cell r="BA313">
            <v>111.29</v>
          </cell>
          <cell r="BB313">
            <v>111.29</v>
          </cell>
          <cell r="BC313">
            <v>94.19</v>
          </cell>
          <cell r="BD313">
            <v>0</v>
          </cell>
          <cell r="BE313">
            <v>135.15</v>
          </cell>
          <cell r="BF313">
            <v>144.22</v>
          </cell>
          <cell r="BG313">
            <v>145.19</v>
          </cell>
          <cell r="BH313">
            <v>146.18</v>
          </cell>
          <cell r="BI313">
            <v>148.19999999999999</v>
          </cell>
          <cell r="BJ313">
            <v>150.27000000000001</v>
          </cell>
          <cell r="BK313">
            <v>130.21</v>
          </cell>
        </row>
        <row r="314">
          <cell r="A314">
            <v>7891721000126</v>
          </cell>
          <cell r="B314">
            <v>1008900900254</v>
          </cell>
          <cell r="C314">
            <v>525404705135414</v>
          </cell>
          <cell r="D314" t="str">
            <v>FLORATIL</v>
          </cell>
          <cell r="E314" t="str">
            <v>200 MG/G PÓ ORAL CART 4 SACHE X 1G</v>
          </cell>
          <cell r="F314" t="str">
            <v>PÓ ORAL</v>
          </cell>
          <cell r="G314">
            <v>4</v>
          </cell>
          <cell r="H314" t="str">
            <v>SACHÊ</v>
          </cell>
          <cell r="I314">
            <v>1</v>
          </cell>
          <cell r="J314" t="str">
            <v>G</v>
          </cell>
          <cell r="K314" t="str">
            <v>Conformidade</v>
          </cell>
          <cell r="L314">
            <v>3</v>
          </cell>
          <cell r="M314" t="str">
            <v>Venda Livre</v>
          </cell>
          <cell r="N314" t="str">
            <v>Não</v>
          </cell>
          <cell r="O314" t="str">
            <v>Não</v>
          </cell>
          <cell r="P314" t="str">
            <v>Não</v>
          </cell>
          <cell r="Q314" t="str">
            <v>N</v>
          </cell>
          <cell r="R314"/>
          <cell r="S314" t="str">
            <v>Similar</v>
          </cell>
          <cell r="T314" t="str">
            <v>Monitorado</v>
          </cell>
          <cell r="U314"/>
          <cell r="V314" t="str">
            <v>99999-99-9</v>
          </cell>
          <cell r="W314"/>
          <cell r="X314"/>
          <cell r="Y314" t="str">
            <v>MG/G</v>
          </cell>
          <cell r="Z314"/>
          <cell r="AA314" t="str">
            <v>41 - ANTIDIARREICOS MICRO-ORGANISMOS</v>
          </cell>
          <cell r="AB314" t="str">
            <v>N</v>
          </cell>
          <cell r="AC314" t="str">
            <v>N</v>
          </cell>
          <cell r="AD314">
            <v>0</v>
          </cell>
          <cell r="AE314" t="str">
            <v>N</v>
          </cell>
          <cell r="AF314">
            <v>0</v>
          </cell>
          <cell r="AG314">
            <v>19.43</v>
          </cell>
          <cell r="AH314">
            <v>20.78</v>
          </cell>
          <cell r="AI314">
            <v>0</v>
          </cell>
          <cell r="AJ314">
            <v>21.07</v>
          </cell>
          <cell r="AK314">
            <v>21.37</v>
          </cell>
          <cell r="AL314">
            <v>0</v>
          </cell>
          <cell r="AM314">
            <v>18.09</v>
          </cell>
          <cell r="AN314">
            <v>0</v>
          </cell>
          <cell r="AO314">
            <v>25.95</v>
          </cell>
          <cell r="AP314">
            <v>27.7</v>
          </cell>
          <cell r="AQ314">
            <v>0</v>
          </cell>
          <cell r="AR314">
            <v>28.07</v>
          </cell>
          <cell r="AS314">
            <v>28.46</v>
          </cell>
          <cell r="AT314">
            <v>0</v>
          </cell>
          <cell r="AU314">
            <v>25.01</v>
          </cell>
          <cell r="AV314">
            <v>0</v>
          </cell>
          <cell r="AW314">
            <v>19.690000000000001</v>
          </cell>
          <cell r="AX314">
            <v>21.06</v>
          </cell>
          <cell r="AY314">
            <v>21.21</v>
          </cell>
          <cell r="AZ314">
            <v>21.36</v>
          </cell>
          <cell r="BA314">
            <v>21.66</v>
          </cell>
          <cell r="BB314">
            <v>21.66</v>
          </cell>
          <cell r="BC314">
            <v>18.329999999999998</v>
          </cell>
          <cell r="BD314">
            <v>0</v>
          </cell>
          <cell r="BE314">
            <v>26.3</v>
          </cell>
          <cell r="BF314">
            <v>28.07</v>
          </cell>
          <cell r="BG314">
            <v>28.26</v>
          </cell>
          <cell r="BH314">
            <v>28.45</v>
          </cell>
          <cell r="BI314">
            <v>28.84</v>
          </cell>
          <cell r="BJ314">
            <v>29.24</v>
          </cell>
          <cell r="BK314">
            <v>25.34</v>
          </cell>
        </row>
        <row r="315">
          <cell r="A315"/>
          <cell r="B315"/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  <cell r="AM315"/>
          <cell r="AN315"/>
          <cell r="AO315"/>
          <cell r="AP315"/>
          <cell r="AQ315"/>
          <cell r="AR315"/>
          <cell r="AS315"/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/>
          <cell r="BG315"/>
          <cell r="BH315"/>
          <cell r="BI315"/>
          <cell r="BJ315"/>
          <cell r="BK315"/>
        </row>
        <row r="316">
          <cell r="A316">
            <v>7891721001970</v>
          </cell>
          <cell r="B316">
            <v>1008900900246</v>
          </cell>
          <cell r="C316">
            <v>525404706131412</v>
          </cell>
          <cell r="D316" t="str">
            <v>FLORATIL</v>
          </cell>
          <cell r="E316" t="str">
            <v>200 MG/G PÓ ORAL CART 6 SACHE X 1G</v>
          </cell>
          <cell r="F316" t="str">
            <v>PÓ ORAL</v>
          </cell>
          <cell r="G316">
            <v>6</v>
          </cell>
          <cell r="H316" t="str">
            <v>SACHÊ</v>
          </cell>
          <cell r="I316">
            <v>1</v>
          </cell>
          <cell r="J316" t="str">
            <v>G</v>
          </cell>
          <cell r="K316" t="str">
            <v>Conformidade</v>
          </cell>
          <cell r="L316">
            <v>3</v>
          </cell>
          <cell r="M316" t="str">
            <v>Venda Livre</v>
          </cell>
          <cell r="N316" t="str">
            <v>Não</v>
          </cell>
          <cell r="O316" t="str">
            <v>Não</v>
          </cell>
          <cell r="P316" t="str">
            <v>Não</v>
          </cell>
          <cell r="Q316" t="str">
            <v>N</v>
          </cell>
          <cell r="R316"/>
          <cell r="S316" t="str">
            <v>Similar</v>
          </cell>
          <cell r="T316" t="str">
            <v>Monitorado</v>
          </cell>
          <cell r="U316"/>
          <cell r="V316" t="str">
            <v>99999-99-9</v>
          </cell>
          <cell r="W316"/>
          <cell r="X316"/>
          <cell r="Y316" t="str">
            <v>MG/G</v>
          </cell>
          <cell r="Z316"/>
          <cell r="AA316" t="str">
            <v>41 - ANTIDIARREICOS MICRO-ORGANISMOS</v>
          </cell>
          <cell r="AB316" t="str">
            <v>N</v>
          </cell>
          <cell r="AC316" t="str">
            <v>N</v>
          </cell>
          <cell r="AD316">
            <v>0</v>
          </cell>
          <cell r="AE316" t="str">
            <v>N</v>
          </cell>
          <cell r="AF316">
            <v>0</v>
          </cell>
          <cell r="AG316">
            <v>23.93</v>
          </cell>
          <cell r="AH316">
            <v>25.59</v>
          </cell>
          <cell r="AI316">
            <v>0</v>
          </cell>
          <cell r="AJ316">
            <v>25.95</v>
          </cell>
          <cell r="AK316">
            <v>26.32</v>
          </cell>
          <cell r="AL316">
            <v>0</v>
          </cell>
          <cell r="AM316">
            <v>22.28</v>
          </cell>
          <cell r="AN316">
            <v>0</v>
          </cell>
          <cell r="AO316">
            <v>31.97</v>
          </cell>
          <cell r="AP316">
            <v>34.11</v>
          </cell>
          <cell r="AQ316">
            <v>0</v>
          </cell>
          <cell r="AR316">
            <v>34.58</v>
          </cell>
          <cell r="AS316">
            <v>35.049999999999997</v>
          </cell>
          <cell r="AT316">
            <v>0</v>
          </cell>
          <cell r="AU316">
            <v>30.8</v>
          </cell>
          <cell r="AV316">
            <v>0</v>
          </cell>
          <cell r="AW316">
            <v>24.26</v>
          </cell>
          <cell r="AX316">
            <v>25.94</v>
          </cell>
          <cell r="AY316">
            <v>26.12</v>
          </cell>
          <cell r="AZ316">
            <v>26.3</v>
          </cell>
          <cell r="BA316">
            <v>26.68</v>
          </cell>
          <cell r="BB316">
            <v>26.68</v>
          </cell>
          <cell r="BC316">
            <v>22.58</v>
          </cell>
          <cell r="BD316">
            <v>0</v>
          </cell>
          <cell r="BE316">
            <v>32.409999999999997</v>
          </cell>
          <cell r="BF316">
            <v>34.58</v>
          </cell>
          <cell r="BG316">
            <v>34.81</v>
          </cell>
          <cell r="BH316">
            <v>35.04</v>
          </cell>
          <cell r="BI316">
            <v>35.53</v>
          </cell>
          <cell r="BJ316">
            <v>36.020000000000003</v>
          </cell>
          <cell r="BK316">
            <v>31.22</v>
          </cell>
        </row>
        <row r="317">
          <cell r="A317"/>
          <cell r="B317"/>
          <cell r="C317"/>
          <cell r="D317"/>
          <cell r="E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  <cell r="AM317"/>
          <cell r="AN317"/>
          <cell r="AO317"/>
          <cell r="AP317"/>
          <cell r="AQ317"/>
          <cell r="AR317"/>
          <cell r="AS317"/>
          <cell r="AT317"/>
          <cell r="AU317"/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/>
          <cell r="BG317"/>
          <cell r="BH317"/>
          <cell r="BI317"/>
          <cell r="BJ317"/>
          <cell r="BK317"/>
        </row>
        <row r="318">
          <cell r="A318"/>
          <cell r="B318"/>
          <cell r="C318"/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  <cell r="AM318"/>
          <cell r="AN318"/>
          <cell r="AO318"/>
          <cell r="AP318"/>
          <cell r="AQ318"/>
          <cell r="AR318"/>
          <cell r="AS318"/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/>
          <cell r="BG318"/>
          <cell r="BH318"/>
          <cell r="BI318"/>
          <cell r="BJ318"/>
          <cell r="BK318"/>
        </row>
        <row r="319">
          <cell r="A319">
            <v>7891721026546</v>
          </cell>
          <cell r="B319">
            <v>1008900900671</v>
          </cell>
          <cell r="C319">
            <v>525416040047203</v>
          </cell>
          <cell r="D319" t="str">
            <v>FLORATIL</v>
          </cell>
          <cell r="E319" t="str">
            <v>250 MG / 1.25 G PO OR CT 10 ENV AL / PLAS X 1.25 G</v>
          </cell>
          <cell r="F319" t="str">
            <v>PÓ ORAL</v>
          </cell>
          <cell r="G319">
            <v>10</v>
          </cell>
          <cell r="H319" t="str">
            <v>SACHÊ</v>
          </cell>
          <cell r="I319">
            <v>1.25</v>
          </cell>
          <cell r="J319" t="str">
            <v>G</v>
          </cell>
          <cell r="K319" t="str">
            <v>Conformidade</v>
          </cell>
          <cell r="L319">
            <v>3</v>
          </cell>
          <cell r="M319" t="str">
            <v>Venda Livre</v>
          </cell>
          <cell r="N319" t="str">
            <v>Não</v>
          </cell>
          <cell r="O319" t="str">
            <v>Não</v>
          </cell>
          <cell r="P319" t="str">
            <v>Não</v>
          </cell>
          <cell r="Q319" t="str">
            <v>N</v>
          </cell>
          <cell r="R319"/>
          <cell r="S319" t="str">
            <v>Similar</v>
          </cell>
          <cell r="T319" t="str">
            <v>Monitorado</v>
          </cell>
          <cell r="U319"/>
          <cell r="V319"/>
          <cell r="W319"/>
          <cell r="X319"/>
          <cell r="Y319"/>
          <cell r="Z319"/>
          <cell r="AA319" t="str">
            <v>41 - ANTIDIARREICOS MICRO-ORGANISMOS</v>
          </cell>
          <cell r="AB319" t="str">
            <v>N</v>
          </cell>
          <cell r="AC319" t="str">
            <v>N</v>
          </cell>
          <cell r="AD319"/>
          <cell r="AE319" t="str">
            <v>N</v>
          </cell>
          <cell r="AF319">
            <v>0</v>
          </cell>
          <cell r="AG319">
            <v>41.51</v>
          </cell>
          <cell r="AH319">
            <v>44.41</v>
          </cell>
          <cell r="AI319">
            <v>0</v>
          </cell>
          <cell r="AJ319">
            <v>45.04</v>
          </cell>
          <cell r="AK319">
            <v>45.69</v>
          </cell>
          <cell r="AL319">
            <v>0</v>
          </cell>
          <cell r="AM319">
            <v>38.58</v>
          </cell>
          <cell r="AN319">
            <v>0</v>
          </cell>
          <cell r="AO319">
            <v>55.36</v>
          </cell>
          <cell r="AP319">
            <v>59.09</v>
          </cell>
          <cell r="AQ319">
            <v>0</v>
          </cell>
          <cell r="AR319">
            <v>59.9</v>
          </cell>
          <cell r="AS319">
            <v>60.73</v>
          </cell>
          <cell r="AT319">
            <v>0</v>
          </cell>
          <cell r="AU319">
            <v>53.33</v>
          </cell>
          <cell r="AV319">
            <v>0</v>
          </cell>
          <cell r="AW319">
            <v>41.53</v>
          </cell>
          <cell r="AX319">
            <v>44.42</v>
          </cell>
          <cell r="AY319">
            <v>44.73</v>
          </cell>
          <cell r="AZ319">
            <v>45.04</v>
          </cell>
          <cell r="BA319">
            <v>45.68</v>
          </cell>
          <cell r="BB319">
            <v>45.68</v>
          </cell>
          <cell r="BC319">
            <v>38.659999999999997</v>
          </cell>
          <cell r="BD319">
            <v>0</v>
          </cell>
          <cell r="BE319">
            <v>55.48</v>
          </cell>
          <cell r="BF319">
            <v>59.21</v>
          </cell>
          <cell r="BG319">
            <v>59.61</v>
          </cell>
          <cell r="BH319">
            <v>60.01</v>
          </cell>
          <cell r="BI319">
            <v>60.83</v>
          </cell>
          <cell r="BJ319">
            <v>61.68</v>
          </cell>
          <cell r="BK319">
            <v>53.45</v>
          </cell>
        </row>
        <row r="320">
          <cell r="A320"/>
          <cell r="B320"/>
          <cell r="C320"/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  <cell r="AQ320"/>
          <cell r="AR320"/>
          <cell r="AS320"/>
          <cell r="AT320"/>
          <cell r="AU320"/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/>
          <cell r="BG320"/>
          <cell r="BH320"/>
          <cell r="BI320"/>
          <cell r="BJ320"/>
          <cell r="BK320"/>
        </row>
        <row r="321">
          <cell r="A321"/>
          <cell r="B321"/>
          <cell r="C321"/>
          <cell r="D321"/>
          <cell r="E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  <cell r="AM321"/>
          <cell r="AN321"/>
          <cell r="AO321"/>
          <cell r="AP321"/>
          <cell r="AQ321"/>
          <cell r="AR321"/>
          <cell r="AS321"/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/>
          <cell r="BG321"/>
          <cell r="BH321"/>
          <cell r="BI321"/>
          <cell r="BJ321"/>
          <cell r="BK321"/>
        </row>
        <row r="322">
          <cell r="A322">
            <v>7891721026478</v>
          </cell>
          <cell r="B322">
            <v>1008900900564</v>
          </cell>
          <cell r="C322">
            <v>525404712115415</v>
          </cell>
          <cell r="D322" t="str">
            <v>FLORATIL</v>
          </cell>
          <cell r="E322" t="str">
            <v>250 MG CAP GEL DURA CT BL AL AL X 10</v>
          </cell>
          <cell r="F322" t="str">
            <v>Cápsula dura</v>
          </cell>
          <cell r="G322"/>
          <cell r="H322"/>
          <cell r="I322">
            <v>10</v>
          </cell>
          <cell r="J322"/>
          <cell r="K322" t="str">
            <v>Conformidade</v>
          </cell>
          <cell r="L322">
            <v>3</v>
          </cell>
          <cell r="M322" t="str">
            <v>Venda Livre</v>
          </cell>
          <cell r="N322" t="str">
            <v>Não</v>
          </cell>
          <cell r="O322" t="str">
            <v>Não</v>
          </cell>
          <cell r="P322" t="str">
            <v>Não</v>
          </cell>
          <cell r="Q322" t="str">
            <v>N</v>
          </cell>
          <cell r="R322"/>
          <cell r="S322" t="str">
            <v>Similar</v>
          </cell>
          <cell r="T322" t="str">
            <v>Monitorado</v>
          </cell>
          <cell r="U322"/>
          <cell r="V322" t="str">
            <v>99999-99-9</v>
          </cell>
          <cell r="W322"/>
          <cell r="X322"/>
          <cell r="Y322" t="str">
            <v>MG</v>
          </cell>
          <cell r="Z322"/>
          <cell r="AA322" t="str">
            <v>41 - ANTIDIARREICOS MICRO-ORGANISMOS</v>
          </cell>
          <cell r="AB322" t="str">
            <v>N</v>
          </cell>
          <cell r="AC322" t="str">
            <v>N</v>
          </cell>
          <cell r="AD322">
            <v>0</v>
          </cell>
          <cell r="AE322" t="str">
            <v>N</v>
          </cell>
          <cell r="AF322">
            <v>0</v>
          </cell>
          <cell r="AG322">
            <v>56.23</v>
          </cell>
          <cell r="AH322">
            <v>60.16</v>
          </cell>
          <cell r="AI322">
            <v>0</v>
          </cell>
          <cell r="AJ322">
            <v>61.01</v>
          </cell>
          <cell r="AK322">
            <v>61.89</v>
          </cell>
          <cell r="AL322">
            <v>0</v>
          </cell>
          <cell r="AM322">
            <v>52.25</v>
          </cell>
          <cell r="AN322">
            <v>0</v>
          </cell>
          <cell r="AO322">
            <v>74.989999999999995</v>
          </cell>
          <cell r="AP322">
            <v>80.05</v>
          </cell>
          <cell r="AQ322">
            <v>0</v>
          </cell>
          <cell r="AR322">
            <v>81.14</v>
          </cell>
          <cell r="AS322">
            <v>82.27</v>
          </cell>
          <cell r="AT322">
            <v>0</v>
          </cell>
          <cell r="AU322">
            <v>72.239999999999995</v>
          </cell>
          <cell r="AV322">
            <v>0</v>
          </cell>
          <cell r="AW322">
            <v>56.26</v>
          </cell>
          <cell r="AX322">
            <v>60.16</v>
          </cell>
          <cell r="AY322">
            <v>60.58</v>
          </cell>
          <cell r="AZ322">
            <v>61.01</v>
          </cell>
          <cell r="BA322">
            <v>61.88</v>
          </cell>
          <cell r="BB322">
            <v>61.88</v>
          </cell>
          <cell r="BC322">
            <v>52.37</v>
          </cell>
          <cell r="BD322">
            <v>0</v>
          </cell>
          <cell r="BE322">
            <v>75.150000000000006</v>
          </cell>
          <cell r="BF322">
            <v>80.19</v>
          </cell>
          <cell r="BG322">
            <v>80.73</v>
          </cell>
          <cell r="BH322">
            <v>81.28</v>
          </cell>
          <cell r="BI322">
            <v>82.4</v>
          </cell>
          <cell r="BJ322">
            <v>83.56</v>
          </cell>
          <cell r="BK322">
            <v>72.400000000000006</v>
          </cell>
        </row>
        <row r="323">
          <cell r="A323"/>
          <cell r="B323"/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  <cell r="AM323"/>
          <cell r="AN323"/>
          <cell r="AO323"/>
          <cell r="AP323"/>
          <cell r="AQ323"/>
          <cell r="AR323"/>
          <cell r="AS323"/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/>
          <cell r="BG323"/>
          <cell r="BH323"/>
          <cell r="BI323"/>
          <cell r="BJ323"/>
          <cell r="BK323"/>
        </row>
        <row r="324">
          <cell r="A324"/>
          <cell r="B324"/>
          <cell r="C324"/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  <cell r="AM324"/>
          <cell r="AN324"/>
          <cell r="AO324"/>
          <cell r="AP324"/>
          <cell r="AQ324"/>
          <cell r="AR324"/>
          <cell r="AS324"/>
          <cell r="AT324"/>
          <cell r="AU324"/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/>
          <cell r="BG324"/>
          <cell r="BH324"/>
          <cell r="BI324"/>
          <cell r="BJ324"/>
          <cell r="BK324"/>
        </row>
        <row r="325">
          <cell r="A325">
            <v>7891721026454</v>
          </cell>
          <cell r="B325">
            <v>1008900900548</v>
          </cell>
          <cell r="C325">
            <v>525404718113414</v>
          </cell>
          <cell r="D325" t="str">
            <v>FLORATIL</v>
          </cell>
          <cell r="E325" t="str">
            <v>250 MG CAP GEL DURA CT BL AL AL X 6</v>
          </cell>
          <cell r="F325" t="str">
            <v>Cápsula dura</v>
          </cell>
          <cell r="G325"/>
          <cell r="H325"/>
          <cell r="I325">
            <v>6</v>
          </cell>
          <cell r="J325"/>
          <cell r="K325" t="str">
            <v>Conformidade</v>
          </cell>
          <cell r="L325">
            <v>3</v>
          </cell>
          <cell r="M325" t="str">
            <v>Venda Livre</v>
          </cell>
          <cell r="N325" t="str">
            <v>Não</v>
          </cell>
          <cell r="O325" t="str">
            <v>Não</v>
          </cell>
          <cell r="P325" t="str">
            <v>Não</v>
          </cell>
          <cell r="Q325" t="str">
            <v>N</v>
          </cell>
          <cell r="R325"/>
          <cell r="S325" t="str">
            <v>Similar</v>
          </cell>
          <cell r="T325" t="str">
            <v>Monitorado</v>
          </cell>
          <cell r="U325"/>
          <cell r="V325" t="str">
            <v>99999-99-9</v>
          </cell>
          <cell r="W325"/>
          <cell r="X325"/>
          <cell r="Y325" t="str">
            <v>MG</v>
          </cell>
          <cell r="Z325"/>
          <cell r="AA325" t="str">
            <v>41 - ANTIDIARREICOS MICRO-ORGANISMOS</v>
          </cell>
          <cell r="AB325" t="str">
            <v>N</v>
          </cell>
          <cell r="AC325" t="str">
            <v>N</v>
          </cell>
          <cell r="AD325">
            <v>0</v>
          </cell>
          <cell r="AE325" t="str">
            <v>N</v>
          </cell>
          <cell r="AF325">
            <v>0</v>
          </cell>
          <cell r="AG325">
            <v>33.74</v>
          </cell>
          <cell r="AH325">
            <v>36.1</v>
          </cell>
          <cell r="AI325">
            <v>0</v>
          </cell>
          <cell r="AJ325">
            <v>36.61</v>
          </cell>
          <cell r="AK325">
            <v>37.14</v>
          </cell>
          <cell r="AL325">
            <v>0</v>
          </cell>
          <cell r="AM325">
            <v>31.36</v>
          </cell>
          <cell r="AN325">
            <v>0</v>
          </cell>
          <cell r="AO325">
            <v>45</v>
          </cell>
          <cell r="AP325">
            <v>48.03</v>
          </cell>
          <cell r="AQ325">
            <v>0</v>
          </cell>
          <cell r="AR325">
            <v>48.69</v>
          </cell>
          <cell r="AS325">
            <v>49.36</v>
          </cell>
          <cell r="AT325">
            <v>0</v>
          </cell>
          <cell r="AU325">
            <v>43.35</v>
          </cell>
          <cell r="AV325">
            <v>0</v>
          </cell>
          <cell r="AW325">
            <v>33.76</v>
          </cell>
          <cell r="AX325">
            <v>36.1</v>
          </cell>
          <cell r="AY325">
            <v>36.35</v>
          </cell>
          <cell r="AZ325">
            <v>36.61</v>
          </cell>
          <cell r="BA325">
            <v>37.130000000000003</v>
          </cell>
          <cell r="BB325">
            <v>37.130000000000003</v>
          </cell>
          <cell r="BC325">
            <v>31.43</v>
          </cell>
          <cell r="BD325">
            <v>0</v>
          </cell>
          <cell r="BE325">
            <v>45.1</v>
          </cell>
          <cell r="BF325">
            <v>48.12</v>
          </cell>
          <cell r="BG325">
            <v>48.44</v>
          </cell>
          <cell r="BH325">
            <v>48.78</v>
          </cell>
          <cell r="BI325">
            <v>49.45</v>
          </cell>
          <cell r="BJ325">
            <v>50.14</v>
          </cell>
          <cell r="BK325">
            <v>43.45</v>
          </cell>
        </row>
        <row r="326">
          <cell r="A326">
            <v>7891721026539</v>
          </cell>
          <cell r="B326">
            <v>1008900900378</v>
          </cell>
          <cell r="C326">
            <v>525416040047303</v>
          </cell>
          <cell r="D326" t="str">
            <v>FLORATIL</v>
          </cell>
          <cell r="E326" t="str">
            <v>250 MG/1,25 G PO OR CT 6 SACH X 1,25 G</v>
          </cell>
          <cell r="F326" t="str">
            <v>PÓ ORAL</v>
          </cell>
          <cell r="G326">
            <v>6</v>
          </cell>
          <cell r="H326" t="str">
            <v>SACHÊ</v>
          </cell>
          <cell r="I326">
            <v>1.25</v>
          </cell>
          <cell r="J326" t="str">
            <v>G</v>
          </cell>
          <cell r="K326" t="str">
            <v>Conformidade</v>
          </cell>
          <cell r="L326">
            <v>3</v>
          </cell>
          <cell r="M326" t="str">
            <v>Venda Livre</v>
          </cell>
          <cell r="N326" t="str">
            <v>Não</v>
          </cell>
          <cell r="O326" t="str">
            <v>Não</v>
          </cell>
          <cell r="P326" t="str">
            <v>Não</v>
          </cell>
          <cell r="Q326" t="str">
            <v>N</v>
          </cell>
          <cell r="R326"/>
          <cell r="S326" t="str">
            <v>Similar</v>
          </cell>
          <cell r="T326" t="str">
            <v>Monitorado</v>
          </cell>
          <cell r="U326"/>
          <cell r="V326"/>
          <cell r="W326"/>
          <cell r="X326"/>
          <cell r="Y326"/>
          <cell r="Z326"/>
          <cell r="AA326" t="str">
            <v>41 - ANTIDIARREICOS MICRO-ORGANISMOS</v>
          </cell>
          <cell r="AB326" t="str">
            <v>N</v>
          </cell>
          <cell r="AC326" t="str">
            <v>N</v>
          </cell>
          <cell r="AD326"/>
          <cell r="AE326" t="str">
            <v>N</v>
          </cell>
          <cell r="AF326">
            <v>0</v>
          </cell>
          <cell r="AG326">
            <v>28.52</v>
          </cell>
          <cell r="AH326">
            <v>30.51</v>
          </cell>
          <cell r="AI326">
            <v>0</v>
          </cell>
          <cell r="AJ326">
            <v>30.94</v>
          </cell>
          <cell r="AK326">
            <v>31.39</v>
          </cell>
          <cell r="AL326">
            <v>0</v>
          </cell>
          <cell r="AM326">
            <v>26.5</v>
          </cell>
          <cell r="AN326">
            <v>0</v>
          </cell>
          <cell r="AO326">
            <v>38.03</v>
          </cell>
          <cell r="AP326">
            <v>40.590000000000003</v>
          </cell>
          <cell r="AQ326">
            <v>0</v>
          </cell>
          <cell r="AR326">
            <v>41.15</v>
          </cell>
          <cell r="AS326">
            <v>41.72</v>
          </cell>
          <cell r="AT326">
            <v>0</v>
          </cell>
          <cell r="AU326">
            <v>36.630000000000003</v>
          </cell>
          <cell r="AV326">
            <v>0</v>
          </cell>
          <cell r="AW326">
            <v>28.53</v>
          </cell>
          <cell r="AX326">
            <v>30.51</v>
          </cell>
          <cell r="AY326">
            <v>30.72</v>
          </cell>
          <cell r="AZ326">
            <v>30.94</v>
          </cell>
          <cell r="BA326">
            <v>31.38</v>
          </cell>
          <cell r="BB326">
            <v>31.38</v>
          </cell>
          <cell r="BC326">
            <v>26.56</v>
          </cell>
          <cell r="BD326">
            <v>0</v>
          </cell>
          <cell r="BE326">
            <v>38.11</v>
          </cell>
          <cell r="BF326">
            <v>40.67</v>
          </cell>
          <cell r="BG326">
            <v>40.94</v>
          </cell>
          <cell r="BH326">
            <v>41.22</v>
          </cell>
          <cell r="BI326">
            <v>41.79</v>
          </cell>
          <cell r="BJ326">
            <v>42.38</v>
          </cell>
          <cell r="BK326">
            <v>36.72</v>
          </cell>
        </row>
        <row r="327">
          <cell r="A327">
            <v>7891721015502</v>
          </cell>
          <cell r="B327">
            <v>1008903410029</v>
          </cell>
          <cell r="C327">
            <v>525419801119414</v>
          </cell>
          <cell r="D327" t="str">
            <v>FLOXOCIP</v>
          </cell>
          <cell r="E327" t="str">
            <v>500 MG COM REV CT BL AL PLAS INC X 14</v>
          </cell>
          <cell r="F327" t="str">
            <v>Comprimido revestido</v>
          </cell>
          <cell r="G327"/>
          <cell r="H327"/>
          <cell r="I327">
            <v>14</v>
          </cell>
          <cell r="J327"/>
          <cell r="K327" t="str">
            <v>Conformidade</v>
          </cell>
          <cell r="L327">
            <v>1</v>
          </cell>
          <cell r="M327" t="str">
            <v>Tarja Vermelha</v>
          </cell>
          <cell r="N327" t="str">
            <v>Não</v>
          </cell>
          <cell r="O327" t="str">
            <v>Não</v>
          </cell>
          <cell r="P327" t="str">
            <v>Sim</v>
          </cell>
          <cell r="Q327" t="str">
            <v>I</v>
          </cell>
          <cell r="R327"/>
          <cell r="S327" t="str">
            <v>Similar</v>
          </cell>
          <cell r="T327" t="str">
            <v>Monitorado</v>
          </cell>
          <cell r="U327"/>
          <cell r="V327" t="str">
            <v>86383-48-9</v>
          </cell>
          <cell r="W327"/>
          <cell r="X327"/>
          <cell r="Y327" t="str">
            <v>MG</v>
          </cell>
          <cell r="Z327">
            <v>2138</v>
          </cell>
          <cell r="AA327" t="str">
            <v>315 - FLUORQUINOLONAS ORAIS</v>
          </cell>
          <cell r="AB327" t="str">
            <v>N</v>
          </cell>
          <cell r="AC327" t="str">
            <v>N</v>
          </cell>
          <cell r="AD327">
            <v>0</v>
          </cell>
          <cell r="AE327" t="str">
            <v>N</v>
          </cell>
          <cell r="AF327">
            <v>0</v>
          </cell>
          <cell r="AG327">
            <v>35.21</v>
          </cell>
          <cell r="AH327">
            <v>37.33</v>
          </cell>
          <cell r="AI327">
            <v>0</v>
          </cell>
          <cell r="AJ327">
            <v>37.79</v>
          </cell>
          <cell r="AK327">
            <v>38.26</v>
          </cell>
          <cell r="AL327">
            <v>0</v>
          </cell>
          <cell r="AM327">
            <v>37.33</v>
          </cell>
          <cell r="AN327">
            <v>0</v>
          </cell>
          <cell r="AO327">
            <v>48.68</v>
          </cell>
          <cell r="AP327">
            <v>51.61</v>
          </cell>
          <cell r="AQ327">
            <v>0</v>
          </cell>
          <cell r="AR327">
            <v>52.24</v>
          </cell>
          <cell r="AS327">
            <v>52.89</v>
          </cell>
          <cell r="AT327">
            <v>0</v>
          </cell>
          <cell r="AU327">
            <v>51.61</v>
          </cell>
          <cell r="AV327">
            <v>0</v>
          </cell>
          <cell r="AW327">
            <v>36.89</v>
          </cell>
          <cell r="AX327">
            <v>39.11</v>
          </cell>
          <cell r="AY327">
            <v>39.35</v>
          </cell>
          <cell r="AZ327">
            <v>39.590000000000003</v>
          </cell>
          <cell r="BA327">
            <v>40.08</v>
          </cell>
          <cell r="BB327">
            <v>40.08</v>
          </cell>
          <cell r="BC327">
            <v>39.11</v>
          </cell>
          <cell r="BD327">
            <v>0</v>
          </cell>
          <cell r="BE327">
            <v>51</v>
          </cell>
          <cell r="BF327">
            <v>54.07</v>
          </cell>
          <cell r="BG327">
            <v>54.4</v>
          </cell>
          <cell r="BH327">
            <v>54.73</v>
          </cell>
          <cell r="BI327">
            <v>55.41</v>
          </cell>
          <cell r="BJ327">
            <v>56.1</v>
          </cell>
          <cell r="BK327">
            <v>54.07</v>
          </cell>
        </row>
        <row r="328">
          <cell r="A328"/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  <cell r="AM328"/>
          <cell r="AN328"/>
          <cell r="AO328"/>
          <cell r="AP328"/>
          <cell r="AQ328"/>
          <cell r="AR328"/>
          <cell r="AS328"/>
          <cell r="AT328"/>
          <cell r="AU328"/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/>
          <cell r="BG328"/>
          <cell r="BH328"/>
          <cell r="BI328"/>
          <cell r="BJ328"/>
          <cell r="BK328"/>
        </row>
        <row r="329">
          <cell r="A329">
            <v>7891721015496</v>
          </cell>
          <cell r="B329">
            <v>1008903410010</v>
          </cell>
          <cell r="C329">
            <v>525419802115412</v>
          </cell>
          <cell r="D329" t="str">
            <v>FLOXOCIP</v>
          </cell>
          <cell r="E329" t="str">
            <v>500 MG COM REV CT BL AL PLAS INC X 6</v>
          </cell>
          <cell r="F329" t="str">
            <v>Comprimido revestido</v>
          </cell>
          <cell r="G329"/>
          <cell r="H329"/>
          <cell r="I329">
            <v>6</v>
          </cell>
          <cell r="J329"/>
          <cell r="K329" t="str">
            <v>Conformidade</v>
          </cell>
          <cell r="L329">
            <v>1</v>
          </cell>
          <cell r="M329" t="str">
            <v>Tarja Vermelha</v>
          </cell>
          <cell r="N329" t="str">
            <v>Não</v>
          </cell>
          <cell r="O329" t="str">
            <v>Não</v>
          </cell>
          <cell r="P329" t="str">
            <v>Sim</v>
          </cell>
          <cell r="Q329" t="str">
            <v>I</v>
          </cell>
          <cell r="R329"/>
          <cell r="S329" t="str">
            <v>Similar</v>
          </cell>
          <cell r="T329" t="str">
            <v>Monitorado</v>
          </cell>
          <cell r="U329"/>
          <cell r="V329" t="str">
            <v>86383-48-9</v>
          </cell>
          <cell r="W329"/>
          <cell r="X329"/>
          <cell r="Y329" t="str">
            <v>MG</v>
          </cell>
          <cell r="Z329">
            <v>2138</v>
          </cell>
          <cell r="AA329" t="str">
            <v>315 - FLUORQUINOLONAS ORAIS</v>
          </cell>
          <cell r="AB329" t="str">
            <v>N</v>
          </cell>
          <cell r="AC329" t="str">
            <v>N</v>
          </cell>
          <cell r="AD329">
            <v>0</v>
          </cell>
          <cell r="AE329" t="str">
            <v>N</v>
          </cell>
          <cell r="AF329">
            <v>0</v>
          </cell>
          <cell r="AG329">
            <v>18.16</v>
          </cell>
          <cell r="AH329">
            <v>19.25</v>
          </cell>
          <cell r="AI329">
            <v>0</v>
          </cell>
          <cell r="AJ329">
            <v>19.489999999999998</v>
          </cell>
          <cell r="AK329">
            <v>19.73</v>
          </cell>
          <cell r="AL329">
            <v>0</v>
          </cell>
          <cell r="AM329">
            <v>19.25</v>
          </cell>
          <cell r="AN329">
            <v>0</v>
          </cell>
          <cell r="AO329">
            <v>25.11</v>
          </cell>
          <cell r="AP329">
            <v>26.61</v>
          </cell>
          <cell r="AQ329">
            <v>0</v>
          </cell>
          <cell r="AR329">
            <v>26.94</v>
          </cell>
          <cell r="AS329">
            <v>27.28</v>
          </cell>
          <cell r="AT329">
            <v>0</v>
          </cell>
          <cell r="AU329">
            <v>26.61</v>
          </cell>
          <cell r="AV329">
            <v>0</v>
          </cell>
          <cell r="AW329">
            <v>19.02</v>
          </cell>
          <cell r="AX329">
            <v>20.170000000000002</v>
          </cell>
          <cell r="AY329">
            <v>20.29</v>
          </cell>
          <cell r="AZ329">
            <v>20.420000000000002</v>
          </cell>
          <cell r="BA329">
            <v>20.67</v>
          </cell>
          <cell r="BB329">
            <v>20.67</v>
          </cell>
          <cell r="BC329">
            <v>20.170000000000002</v>
          </cell>
          <cell r="BD329">
            <v>0</v>
          </cell>
          <cell r="BE329">
            <v>26.29</v>
          </cell>
          <cell r="BF329">
            <v>27.88</v>
          </cell>
          <cell r="BG329">
            <v>28.05</v>
          </cell>
          <cell r="BH329">
            <v>28.23</v>
          </cell>
          <cell r="BI329">
            <v>28.58</v>
          </cell>
          <cell r="BJ329">
            <v>28.93</v>
          </cell>
          <cell r="BK329">
            <v>27.88</v>
          </cell>
        </row>
        <row r="330">
          <cell r="A330"/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  <cell r="AQ330"/>
          <cell r="AR330"/>
          <cell r="AS330"/>
          <cell r="AT330"/>
          <cell r="AU330"/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/>
          <cell r="BG330"/>
          <cell r="BH330"/>
          <cell r="BI330"/>
          <cell r="BJ330"/>
          <cell r="BK330"/>
        </row>
        <row r="331">
          <cell r="A331">
            <v>7891721044137</v>
          </cell>
          <cell r="B331">
            <v>1008901930051</v>
          </cell>
          <cell r="C331">
            <v>525404901112413</v>
          </cell>
          <cell r="D331" t="str">
            <v>GLIFAGE</v>
          </cell>
          <cell r="E331" t="str">
            <v>1 G COM REV EST BL AL PLAS INC X 30</v>
          </cell>
          <cell r="F331" t="str">
            <v>Comprimido revestido</v>
          </cell>
          <cell r="G331"/>
          <cell r="H331"/>
          <cell r="I331">
            <v>30</v>
          </cell>
          <cell r="J331"/>
          <cell r="K331" t="str">
            <v>Conformidade</v>
          </cell>
          <cell r="L331">
            <v>3</v>
          </cell>
          <cell r="M331" t="str">
            <v>Tarja Vermelha</v>
          </cell>
          <cell r="N331" t="str">
            <v>Não</v>
          </cell>
          <cell r="O331" t="str">
            <v>Não</v>
          </cell>
          <cell r="P331" t="str">
            <v>Não</v>
          </cell>
          <cell r="Q331" t="str">
            <v>I</v>
          </cell>
          <cell r="R331"/>
          <cell r="S331" t="str">
            <v>Genérico</v>
          </cell>
          <cell r="T331" t="str">
            <v>Monitorado</v>
          </cell>
          <cell r="U331"/>
          <cell r="V331" t="str">
            <v>1115-70-4</v>
          </cell>
          <cell r="W331"/>
          <cell r="X331"/>
          <cell r="Y331" t="str">
            <v>G</v>
          </cell>
          <cell r="Z331">
            <v>5782</v>
          </cell>
          <cell r="AA331" t="str">
            <v>65 - ANTIDIABÉTICOS BIGUANIDAS PUROS</v>
          </cell>
          <cell r="AB331" t="str">
            <v>N</v>
          </cell>
          <cell r="AC331" t="str">
            <v>N</v>
          </cell>
          <cell r="AD331">
            <v>0</v>
          </cell>
          <cell r="AE331" t="str">
            <v>N</v>
          </cell>
          <cell r="AF331">
            <v>0</v>
          </cell>
          <cell r="AG331">
            <v>26.16</v>
          </cell>
          <cell r="AH331">
            <v>27.73</v>
          </cell>
          <cell r="AI331">
            <v>0</v>
          </cell>
          <cell r="AJ331">
            <v>28.07</v>
          </cell>
          <cell r="AK331">
            <v>28.42</v>
          </cell>
          <cell r="AL331">
            <v>0</v>
          </cell>
          <cell r="AM331">
            <v>27.73</v>
          </cell>
          <cell r="AN331">
            <v>0</v>
          </cell>
          <cell r="AO331">
            <v>36.159999999999997</v>
          </cell>
          <cell r="AP331">
            <v>38.340000000000003</v>
          </cell>
          <cell r="AQ331">
            <v>0</v>
          </cell>
          <cell r="AR331">
            <v>38.799999999999997</v>
          </cell>
          <cell r="AS331">
            <v>39.29</v>
          </cell>
          <cell r="AT331">
            <v>0</v>
          </cell>
          <cell r="AU331">
            <v>38.340000000000003</v>
          </cell>
          <cell r="AV331">
            <v>0</v>
          </cell>
          <cell r="AW331">
            <v>26.51</v>
          </cell>
          <cell r="AX331">
            <v>28.11</v>
          </cell>
          <cell r="AY331">
            <v>28.28</v>
          </cell>
          <cell r="AZ331">
            <v>28.45</v>
          </cell>
          <cell r="BA331">
            <v>28.8</v>
          </cell>
          <cell r="BB331">
            <v>28.8</v>
          </cell>
          <cell r="BC331">
            <v>28.11</v>
          </cell>
          <cell r="BD331">
            <v>0</v>
          </cell>
          <cell r="BE331">
            <v>36.65</v>
          </cell>
          <cell r="BF331">
            <v>38.86</v>
          </cell>
          <cell r="BG331">
            <v>39.1</v>
          </cell>
          <cell r="BH331">
            <v>39.33</v>
          </cell>
          <cell r="BI331">
            <v>39.81</v>
          </cell>
          <cell r="BJ331">
            <v>40.31</v>
          </cell>
          <cell r="BK331">
            <v>38.86</v>
          </cell>
        </row>
        <row r="332">
          <cell r="A332"/>
          <cell r="B332"/>
          <cell r="C332"/>
          <cell r="D332"/>
          <cell r="E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  <cell r="AM332"/>
          <cell r="AN332"/>
          <cell r="AO332"/>
          <cell r="AP332"/>
          <cell r="AQ332"/>
          <cell r="AR332"/>
          <cell r="AS332"/>
          <cell r="AT332"/>
          <cell r="AU332"/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/>
          <cell r="BG332"/>
          <cell r="BH332"/>
          <cell r="BI332"/>
          <cell r="BJ332"/>
          <cell r="BK332"/>
        </row>
        <row r="333">
          <cell r="A333">
            <v>7891721000614</v>
          </cell>
          <cell r="B333">
            <v>1008901930025</v>
          </cell>
          <cell r="C333">
            <v>525404902119411</v>
          </cell>
          <cell r="D333" t="str">
            <v>GLIFAGE</v>
          </cell>
          <cell r="E333" t="str">
            <v>500 MG COM REV CT EST BL AL PLAS INC X 30 </v>
          </cell>
          <cell r="F333" t="str">
            <v>Comprimido revestido</v>
          </cell>
          <cell r="G333"/>
          <cell r="H333"/>
          <cell r="I333">
            <v>30</v>
          </cell>
          <cell r="J333"/>
          <cell r="K333" t="str">
            <v>Conformidade</v>
          </cell>
          <cell r="L333">
            <v>3</v>
          </cell>
          <cell r="M333" t="str">
            <v>Tarja Vermelha</v>
          </cell>
          <cell r="N333" t="str">
            <v>Não</v>
          </cell>
          <cell r="O333" t="str">
            <v>Não</v>
          </cell>
          <cell r="P333" t="str">
            <v>Não</v>
          </cell>
          <cell r="Q333" t="str">
            <v>I</v>
          </cell>
          <cell r="R333"/>
          <cell r="S333" t="str">
            <v>Genérico</v>
          </cell>
          <cell r="T333" t="str">
            <v>Monitorado</v>
          </cell>
          <cell r="U333"/>
          <cell r="V333" t="str">
            <v>1115-70-4</v>
          </cell>
          <cell r="W333"/>
          <cell r="X333"/>
          <cell r="Y333" t="str">
            <v>MG</v>
          </cell>
          <cell r="Z333">
            <v>5782</v>
          </cell>
          <cell r="AA333" t="str">
            <v>65 - ANTIDIABÉTICOS BIGUANIDAS PUROS</v>
          </cell>
          <cell r="AB333" t="str">
            <v>N</v>
          </cell>
          <cell r="AC333" t="str">
            <v>N</v>
          </cell>
          <cell r="AD333">
            <v>0</v>
          </cell>
          <cell r="AE333" t="str">
            <v>N</v>
          </cell>
          <cell r="AF333">
            <v>0</v>
          </cell>
          <cell r="AG333">
            <v>13.71</v>
          </cell>
          <cell r="AH333">
            <v>14.54</v>
          </cell>
          <cell r="AI333">
            <v>0</v>
          </cell>
          <cell r="AJ333">
            <v>14.72</v>
          </cell>
          <cell r="AK333">
            <v>14.9</v>
          </cell>
          <cell r="AL333">
            <v>0</v>
          </cell>
          <cell r="AM333">
            <v>14.54</v>
          </cell>
          <cell r="AN333">
            <v>0</v>
          </cell>
          <cell r="AO333">
            <v>18.95</v>
          </cell>
          <cell r="AP333">
            <v>20.100000000000001</v>
          </cell>
          <cell r="AQ333">
            <v>0</v>
          </cell>
          <cell r="AR333">
            <v>20.34</v>
          </cell>
          <cell r="AS333">
            <v>20.6</v>
          </cell>
          <cell r="AT333">
            <v>0</v>
          </cell>
          <cell r="AU333">
            <v>20.100000000000001</v>
          </cell>
          <cell r="AV333">
            <v>0</v>
          </cell>
          <cell r="AW333">
            <v>13.9</v>
          </cell>
          <cell r="AX333">
            <v>14.74</v>
          </cell>
          <cell r="AY333">
            <v>14.83</v>
          </cell>
          <cell r="AZ333">
            <v>14.92</v>
          </cell>
          <cell r="BA333">
            <v>15.1</v>
          </cell>
          <cell r="BB333">
            <v>15.1</v>
          </cell>
          <cell r="BC333">
            <v>14.74</v>
          </cell>
          <cell r="BD333">
            <v>0</v>
          </cell>
          <cell r="BE333">
            <v>19.22</v>
          </cell>
          <cell r="BF333">
            <v>20.38</v>
          </cell>
          <cell r="BG333">
            <v>20.5</v>
          </cell>
          <cell r="BH333">
            <v>20.63</v>
          </cell>
          <cell r="BI333">
            <v>20.87</v>
          </cell>
          <cell r="BJ333">
            <v>21.14</v>
          </cell>
          <cell r="BK333">
            <v>20.38</v>
          </cell>
        </row>
        <row r="334">
          <cell r="A334"/>
          <cell r="B334"/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  <cell r="AM334"/>
          <cell r="AN334"/>
          <cell r="AO334"/>
          <cell r="AP334"/>
          <cell r="AQ334"/>
          <cell r="AR334"/>
          <cell r="AS334"/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/>
          <cell r="BG334"/>
          <cell r="BH334"/>
          <cell r="BI334"/>
          <cell r="BJ334"/>
          <cell r="BK334"/>
        </row>
        <row r="335">
          <cell r="A335">
            <v>7891721027437</v>
          </cell>
          <cell r="B335">
            <v>1008901930017</v>
          </cell>
          <cell r="C335">
            <v>525404903115411</v>
          </cell>
          <cell r="D335" t="str">
            <v>GLIFAGE</v>
          </cell>
          <cell r="E335" t="str">
            <v>850 MG COM REV EST CT BL AL PLAS INC X 30 </v>
          </cell>
          <cell r="F335" t="str">
            <v>Comprimido revestido</v>
          </cell>
          <cell r="G335"/>
          <cell r="H335"/>
          <cell r="I335">
            <v>30</v>
          </cell>
          <cell r="J335"/>
          <cell r="K335" t="str">
            <v>Conformidade</v>
          </cell>
          <cell r="L335">
            <v>3</v>
          </cell>
          <cell r="M335" t="str">
            <v>Tarja Vermelha</v>
          </cell>
          <cell r="N335" t="str">
            <v>Não</v>
          </cell>
          <cell r="O335" t="str">
            <v>Não</v>
          </cell>
          <cell r="P335" t="str">
            <v>Não</v>
          </cell>
          <cell r="Q335" t="str">
            <v>I</v>
          </cell>
          <cell r="R335"/>
          <cell r="S335" t="str">
            <v>Genérico</v>
          </cell>
          <cell r="T335" t="str">
            <v>Monitorado</v>
          </cell>
          <cell r="U335"/>
          <cell r="V335" t="str">
            <v>1115-70-4</v>
          </cell>
          <cell r="W335"/>
          <cell r="X335"/>
          <cell r="Y335" t="str">
            <v>MG</v>
          </cell>
          <cell r="Z335">
            <v>5782</v>
          </cell>
          <cell r="AA335" t="str">
            <v>65 - ANTIDIABÉTICOS BIGUANIDAS PUROS</v>
          </cell>
          <cell r="AB335" t="str">
            <v>N</v>
          </cell>
          <cell r="AC335" t="str">
            <v>N</v>
          </cell>
          <cell r="AD335">
            <v>0</v>
          </cell>
          <cell r="AE335" t="str">
            <v>N</v>
          </cell>
          <cell r="AF335">
            <v>0</v>
          </cell>
          <cell r="AG335">
            <v>18.420000000000002</v>
          </cell>
          <cell r="AH335">
            <v>19.53</v>
          </cell>
          <cell r="AI335">
            <v>0</v>
          </cell>
          <cell r="AJ335">
            <v>19.77</v>
          </cell>
          <cell r="AK335">
            <v>20.010000000000002</v>
          </cell>
          <cell r="AL335">
            <v>0</v>
          </cell>
          <cell r="AM335">
            <v>19.53</v>
          </cell>
          <cell r="AN335">
            <v>0</v>
          </cell>
          <cell r="AO335">
            <v>25.46</v>
          </cell>
          <cell r="AP335">
            <v>27</v>
          </cell>
          <cell r="AQ335">
            <v>0</v>
          </cell>
          <cell r="AR335">
            <v>27.33</v>
          </cell>
          <cell r="AS335">
            <v>27.66</v>
          </cell>
          <cell r="AT335">
            <v>0</v>
          </cell>
          <cell r="AU335">
            <v>27</v>
          </cell>
          <cell r="AV335">
            <v>0</v>
          </cell>
          <cell r="AW335">
            <v>18.670000000000002</v>
          </cell>
          <cell r="AX335">
            <v>19.8</v>
          </cell>
          <cell r="AY335">
            <v>19.920000000000002</v>
          </cell>
          <cell r="AZ335">
            <v>20.04</v>
          </cell>
          <cell r="BA335">
            <v>20.29</v>
          </cell>
          <cell r="BB335">
            <v>20.29</v>
          </cell>
          <cell r="BC335">
            <v>19.8</v>
          </cell>
          <cell r="BD335">
            <v>0</v>
          </cell>
          <cell r="BE335">
            <v>25.81</v>
          </cell>
          <cell r="BF335">
            <v>27.37</v>
          </cell>
          <cell r="BG335">
            <v>27.54</v>
          </cell>
          <cell r="BH335">
            <v>27.7</v>
          </cell>
          <cell r="BI335">
            <v>28.05</v>
          </cell>
          <cell r="BJ335">
            <v>28.4</v>
          </cell>
          <cell r="BK335">
            <v>27.37</v>
          </cell>
        </row>
        <row r="336">
          <cell r="A336"/>
          <cell r="B336"/>
          <cell r="C336"/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/>
          <cell r="AN336"/>
          <cell r="AO336"/>
          <cell r="AP336"/>
          <cell r="AQ336"/>
          <cell r="AR336"/>
          <cell r="AS336"/>
          <cell r="AT336"/>
          <cell r="AU336"/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/>
          <cell r="BG336"/>
          <cell r="BH336"/>
          <cell r="BI336"/>
          <cell r="BJ336"/>
          <cell r="BK336"/>
        </row>
        <row r="337">
          <cell r="A337">
            <v>7891721022562</v>
          </cell>
          <cell r="B337">
            <v>1008903400171</v>
          </cell>
          <cell r="C337">
            <v>525420303119319</v>
          </cell>
          <cell r="D337" t="str">
            <v>GLIFAGE XR</v>
          </cell>
          <cell r="E337" t="str">
            <v>1 G COM CT BL AL PLAS INC X 10</v>
          </cell>
          <cell r="F337" t="str">
            <v>Comprimido</v>
          </cell>
          <cell r="G337"/>
          <cell r="H337"/>
          <cell r="I337">
            <v>10</v>
          </cell>
          <cell r="J337"/>
          <cell r="K337" t="str">
            <v>Conformidade</v>
          </cell>
          <cell r="L337">
            <v>3</v>
          </cell>
          <cell r="M337" t="str">
            <v>Tarja Vermelha</v>
          </cell>
          <cell r="N337" t="str">
            <v>Não</v>
          </cell>
          <cell r="O337" t="str">
            <v>Não</v>
          </cell>
          <cell r="P337" t="str">
            <v>Não</v>
          </cell>
          <cell r="Q337" t="str">
            <v>I</v>
          </cell>
          <cell r="R337"/>
          <cell r="S337" t="str">
            <v>Genérico</v>
          </cell>
          <cell r="T337" t="str">
            <v>Monitorado</v>
          </cell>
          <cell r="U337"/>
          <cell r="V337" t="str">
            <v>1115-70-4</v>
          </cell>
          <cell r="W337"/>
          <cell r="X337"/>
          <cell r="Y337" t="str">
            <v>G</v>
          </cell>
          <cell r="Z337">
            <v>5782</v>
          </cell>
          <cell r="AA337" t="str">
            <v>65 - ANTIDIABÉTICOS BIGUANIDAS PUROS</v>
          </cell>
          <cell r="AB337" t="str">
            <v>N</v>
          </cell>
          <cell r="AC337" t="str">
            <v>N</v>
          </cell>
          <cell r="AD337">
            <v>0</v>
          </cell>
          <cell r="AE337" t="str">
            <v>N</v>
          </cell>
          <cell r="AF337">
            <v>0</v>
          </cell>
          <cell r="AG337">
            <v>8.64</v>
          </cell>
          <cell r="AH337">
            <v>9.16</v>
          </cell>
          <cell r="AI337">
            <v>0</v>
          </cell>
          <cell r="AJ337">
            <v>9.27</v>
          </cell>
          <cell r="AK337">
            <v>9.3800000000000008</v>
          </cell>
          <cell r="AL337">
            <v>0</v>
          </cell>
          <cell r="AM337">
            <v>9.16</v>
          </cell>
          <cell r="AN337">
            <v>0</v>
          </cell>
          <cell r="AO337">
            <v>11.94</v>
          </cell>
          <cell r="AP337">
            <v>12.66</v>
          </cell>
          <cell r="AQ337">
            <v>0</v>
          </cell>
          <cell r="AR337">
            <v>12.82</v>
          </cell>
          <cell r="AS337">
            <v>12.97</v>
          </cell>
          <cell r="AT337">
            <v>0</v>
          </cell>
          <cell r="AU337">
            <v>12.66</v>
          </cell>
          <cell r="AV337">
            <v>0</v>
          </cell>
          <cell r="AW337">
            <v>8.64</v>
          </cell>
          <cell r="AX337">
            <v>9.16</v>
          </cell>
          <cell r="AY337">
            <v>9.2100000000000009</v>
          </cell>
          <cell r="AZ337">
            <v>9.27</v>
          </cell>
          <cell r="BA337">
            <v>9.3800000000000008</v>
          </cell>
          <cell r="BB337">
            <v>9.3800000000000008</v>
          </cell>
          <cell r="BC337">
            <v>9.16</v>
          </cell>
          <cell r="BD337">
            <v>0</v>
          </cell>
          <cell r="BE337">
            <v>11.94</v>
          </cell>
          <cell r="BF337">
            <v>12.66</v>
          </cell>
          <cell r="BG337">
            <v>12.73</v>
          </cell>
          <cell r="BH337">
            <v>12.82</v>
          </cell>
          <cell r="BI337">
            <v>12.97</v>
          </cell>
          <cell r="BJ337">
            <v>13.13</v>
          </cell>
          <cell r="BK337">
            <v>12.66</v>
          </cell>
        </row>
        <row r="338">
          <cell r="A338">
            <v>7891721022579</v>
          </cell>
          <cell r="B338">
            <v>1008903400181</v>
          </cell>
          <cell r="C338">
            <v>525420304115317</v>
          </cell>
          <cell r="D338" t="str">
            <v>GLIFAGE XR</v>
          </cell>
          <cell r="E338" t="str">
            <v>1 G COM CT BL AL PLAS INC X 30</v>
          </cell>
          <cell r="F338" t="str">
            <v>Comprimido</v>
          </cell>
          <cell r="G338"/>
          <cell r="H338"/>
          <cell r="I338">
            <v>30</v>
          </cell>
          <cell r="J338"/>
          <cell r="K338" t="str">
            <v>Conformidade</v>
          </cell>
          <cell r="L338">
            <v>3</v>
          </cell>
          <cell r="M338" t="str">
            <v>Tarja Vermelha</v>
          </cell>
          <cell r="N338" t="str">
            <v>Não</v>
          </cell>
          <cell r="O338" t="str">
            <v>Não</v>
          </cell>
          <cell r="P338" t="str">
            <v>Não</v>
          </cell>
          <cell r="Q338" t="str">
            <v>I</v>
          </cell>
          <cell r="R338"/>
          <cell r="S338" t="str">
            <v>Genérico</v>
          </cell>
          <cell r="T338" t="str">
            <v>Monitorado</v>
          </cell>
          <cell r="U338"/>
          <cell r="V338" t="str">
            <v>1115-70-4</v>
          </cell>
          <cell r="W338"/>
          <cell r="X338"/>
          <cell r="Y338" t="str">
            <v>G</v>
          </cell>
          <cell r="Z338">
            <v>5782</v>
          </cell>
          <cell r="AA338" t="str">
            <v>65 - ANTIDIABÉTICOS BIGUANIDAS PUROS</v>
          </cell>
          <cell r="AB338" t="str">
            <v>N</v>
          </cell>
          <cell r="AC338" t="str">
            <v>N</v>
          </cell>
          <cell r="AD338">
            <v>0</v>
          </cell>
          <cell r="AE338" t="str">
            <v>N</v>
          </cell>
          <cell r="AF338">
            <v>0</v>
          </cell>
          <cell r="AG338">
            <v>25.95</v>
          </cell>
          <cell r="AH338">
            <v>27.51</v>
          </cell>
          <cell r="AI338">
            <v>0</v>
          </cell>
          <cell r="AJ338">
            <v>27.84</v>
          </cell>
          <cell r="AK338">
            <v>28.19</v>
          </cell>
          <cell r="AL338">
            <v>0</v>
          </cell>
          <cell r="AM338">
            <v>27.51</v>
          </cell>
          <cell r="AN338">
            <v>0</v>
          </cell>
          <cell r="AO338">
            <v>35.869999999999997</v>
          </cell>
          <cell r="AP338">
            <v>38.03</v>
          </cell>
          <cell r="AQ338">
            <v>0</v>
          </cell>
          <cell r="AR338">
            <v>38.49</v>
          </cell>
          <cell r="AS338">
            <v>38.97</v>
          </cell>
          <cell r="AT338">
            <v>0</v>
          </cell>
          <cell r="AU338">
            <v>38.03</v>
          </cell>
          <cell r="AV338">
            <v>0</v>
          </cell>
          <cell r="AW338">
            <v>26.29</v>
          </cell>
          <cell r="AX338">
            <v>27.88</v>
          </cell>
          <cell r="AY338">
            <v>28.05</v>
          </cell>
          <cell r="AZ338">
            <v>28.22</v>
          </cell>
          <cell r="BA338">
            <v>28.57</v>
          </cell>
          <cell r="BB338">
            <v>28.57</v>
          </cell>
          <cell r="BC338">
            <v>27.88</v>
          </cell>
          <cell r="BD338">
            <v>0</v>
          </cell>
          <cell r="BE338">
            <v>36.340000000000003</v>
          </cell>
          <cell r="BF338">
            <v>38.54</v>
          </cell>
          <cell r="BG338">
            <v>38.78</v>
          </cell>
          <cell r="BH338">
            <v>39.01</v>
          </cell>
          <cell r="BI338">
            <v>39.5</v>
          </cell>
          <cell r="BJ338">
            <v>39.979999999999997</v>
          </cell>
          <cell r="BK338">
            <v>38.54</v>
          </cell>
        </row>
        <row r="339">
          <cell r="A339"/>
          <cell r="B339"/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  <cell r="AQ339"/>
          <cell r="AR339"/>
          <cell r="AS339"/>
          <cell r="AT339"/>
          <cell r="AU339"/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/>
          <cell r="BG339"/>
          <cell r="BH339"/>
          <cell r="BI339"/>
          <cell r="BJ339"/>
          <cell r="BK339"/>
        </row>
        <row r="340">
          <cell r="A340">
            <v>7891721027468</v>
          </cell>
          <cell r="B340">
            <v>1008903400031</v>
          </cell>
          <cell r="C340">
            <v>525420305111315</v>
          </cell>
          <cell r="D340" t="str">
            <v>GLIFAGE XR</v>
          </cell>
          <cell r="E340" t="str">
            <v>500 MG COM AP CT BL AL PLAS INC X 30</v>
          </cell>
          <cell r="F340" t="str">
            <v>Comprimido de liberação prolongada</v>
          </cell>
          <cell r="G340"/>
          <cell r="H340"/>
          <cell r="I340">
            <v>30</v>
          </cell>
          <cell r="J340"/>
          <cell r="K340" t="str">
            <v>Conformidade</v>
          </cell>
          <cell r="L340">
            <v>3</v>
          </cell>
          <cell r="M340" t="str">
            <v>Tarja Vermelha</v>
          </cell>
          <cell r="N340" t="str">
            <v>Não</v>
          </cell>
          <cell r="O340" t="str">
            <v>Não</v>
          </cell>
          <cell r="P340" t="str">
            <v>Sim</v>
          </cell>
          <cell r="Q340" t="str">
            <v>I</v>
          </cell>
          <cell r="R340"/>
          <cell r="S340" t="str">
            <v>Genérico</v>
          </cell>
          <cell r="T340" t="str">
            <v>Monitorado</v>
          </cell>
          <cell r="U340"/>
          <cell r="V340" t="str">
            <v>1115-70-4</v>
          </cell>
          <cell r="W340"/>
          <cell r="X340"/>
          <cell r="Y340" t="str">
            <v>MG</v>
          </cell>
          <cell r="Z340">
            <v>5782</v>
          </cell>
          <cell r="AA340" t="str">
            <v>65 - ANTIDIABÉTICOS BIGUANIDAS PUROS</v>
          </cell>
          <cell r="AB340" t="str">
            <v>N</v>
          </cell>
          <cell r="AC340" t="str">
            <v>N</v>
          </cell>
          <cell r="AD340">
            <v>0</v>
          </cell>
          <cell r="AE340" t="str">
            <v>N</v>
          </cell>
          <cell r="AF340">
            <v>0</v>
          </cell>
          <cell r="AG340">
            <v>9.41</v>
          </cell>
          <cell r="AH340">
            <v>9.98</v>
          </cell>
          <cell r="AI340">
            <v>0</v>
          </cell>
          <cell r="AJ340">
            <v>10.1</v>
          </cell>
          <cell r="AK340">
            <v>10.220000000000001</v>
          </cell>
          <cell r="AL340">
            <v>0</v>
          </cell>
          <cell r="AM340">
            <v>9.98</v>
          </cell>
          <cell r="AN340">
            <v>0</v>
          </cell>
          <cell r="AO340">
            <v>13.01</v>
          </cell>
          <cell r="AP340">
            <v>13.79</v>
          </cell>
          <cell r="AQ340">
            <v>0</v>
          </cell>
          <cell r="AR340">
            <v>13.96</v>
          </cell>
          <cell r="AS340">
            <v>14.13</v>
          </cell>
          <cell r="AT340">
            <v>0</v>
          </cell>
          <cell r="AU340">
            <v>13.79</v>
          </cell>
          <cell r="AV340">
            <v>0</v>
          </cell>
          <cell r="AW340">
            <v>9.5399999999999991</v>
          </cell>
          <cell r="AX340">
            <v>10.11</v>
          </cell>
          <cell r="AY340">
            <v>10.17</v>
          </cell>
          <cell r="AZ340">
            <v>10.24</v>
          </cell>
          <cell r="BA340">
            <v>10.36</v>
          </cell>
          <cell r="BB340">
            <v>10.36</v>
          </cell>
          <cell r="BC340">
            <v>10.11</v>
          </cell>
          <cell r="BD340">
            <v>0</v>
          </cell>
          <cell r="BE340">
            <v>13.19</v>
          </cell>
          <cell r="BF340">
            <v>13.98</v>
          </cell>
          <cell r="BG340">
            <v>14.06</v>
          </cell>
          <cell r="BH340">
            <v>14.15</v>
          </cell>
          <cell r="BI340">
            <v>14.32</v>
          </cell>
          <cell r="BJ340">
            <v>14.5</v>
          </cell>
          <cell r="BK340">
            <v>13.98</v>
          </cell>
        </row>
        <row r="341">
          <cell r="A341"/>
          <cell r="B341"/>
          <cell r="C341"/>
          <cell r="D341"/>
          <cell r="E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  <cell r="AM341"/>
          <cell r="AN341"/>
          <cell r="AO341"/>
          <cell r="AP341"/>
          <cell r="AQ341"/>
          <cell r="AR341"/>
          <cell r="AS341"/>
          <cell r="AT341"/>
          <cell r="AU341"/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/>
          <cell r="BG341"/>
          <cell r="BH341"/>
          <cell r="BI341"/>
          <cell r="BJ341"/>
          <cell r="BK341"/>
        </row>
        <row r="342">
          <cell r="A342"/>
          <cell r="B342"/>
          <cell r="C342"/>
          <cell r="D342"/>
          <cell r="E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  <cell r="AM342"/>
          <cell r="AN342"/>
          <cell r="AO342"/>
          <cell r="AP342"/>
          <cell r="AQ342"/>
          <cell r="AR342"/>
          <cell r="AS342"/>
          <cell r="AT342"/>
          <cell r="AU342"/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/>
          <cell r="BG342"/>
          <cell r="BH342"/>
          <cell r="BI342"/>
          <cell r="BJ342"/>
          <cell r="BK342"/>
        </row>
        <row r="343">
          <cell r="A343">
            <v>7891721027444</v>
          </cell>
          <cell r="B343">
            <v>1008903400090</v>
          </cell>
          <cell r="C343">
            <v>525420301116312</v>
          </cell>
          <cell r="D343" t="str">
            <v>GLIFAGE XR</v>
          </cell>
          <cell r="E343" t="str">
            <v>750 MG COM AP CT BL AL PLAS INC X 10</v>
          </cell>
          <cell r="F343" t="str">
            <v>Comprimido</v>
          </cell>
          <cell r="G343"/>
          <cell r="H343"/>
          <cell r="I343">
            <v>10</v>
          </cell>
          <cell r="J343"/>
          <cell r="K343" t="str">
            <v>Conformidade</v>
          </cell>
          <cell r="L343">
            <v>3</v>
          </cell>
          <cell r="M343" t="str">
            <v>Tarja Vermelha</v>
          </cell>
          <cell r="N343" t="str">
            <v>Não</v>
          </cell>
          <cell r="O343" t="str">
            <v>Não</v>
          </cell>
          <cell r="P343" t="str">
            <v>Não</v>
          </cell>
          <cell r="Q343" t="str">
            <v>I</v>
          </cell>
          <cell r="R343"/>
          <cell r="S343" t="str">
            <v>Genérico</v>
          </cell>
          <cell r="T343" t="str">
            <v>Monitorado</v>
          </cell>
          <cell r="U343"/>
          <cell r="V343" t="str">
            <v>1115-70-4</v>
          </cell>
          <cell r="W343"/>
          <cell r="X343"/>
          <cell r="Y343" t="str">
            <v>MG</v>
          </cell>
          <cell r="Z343">
            <v>5782</v>
          </cell>
          <cell r="AA343" t="str">
            <v>65 - ANTIDIABÉTICOS BIGUANIDAS PUROS</v>
          </cell>
          <cell r="AB343" t="str">
            <v>N</v>
          </cell>
          <cell r="AC343" t="str">
            <v>N</v>
          </cell>
          <cell r="AD343">
            <v>0</v>
          </cell>
          <cell r="AE343" t="str">
            <v>N</v>
          </cell>
          <cell r="AF343">
            <v>0</v>
          </cell>
          <cell r="AG343">
            <v>6.23</v>
          </cell>
          <cell r="AH343">
            <v>6.6</v>
          </cell>
          <cell r="AI343">
            <v>0</v>
          </cell>
          <cell r="AJ343">
            <v>6.68</v>
          </cell>
          <cell r="AK343">
            <v>6.77</v>
          </cell>
          <cell r="AL343">
            <v>0</v>
          </cell>
          <cell r="AM343">
            <v>6.6</v>
          </cell>
          <cell r="AN343">
            <v>0</v>
          </cell>
          <cell r="AO343">
            <v>8.61</v>
          </cell>
          <cell r="AP343">
            <v>9.1199999999999992</v>
          </cell>
          <cell r="AQ343">
            <v>0</v>
          </cell>
          <cell r="AR343">
            <v>9.24</v>
          </cell>
          <cell r="AS343">
            <v>9.36</v>
          </cell>
          <cell r="AT343">
            <v>0</v>
          </cell>
          <cell r="AU343">
            <v>9.1199999999999992</v>
          </cell>
          <cell r="AV343">
            <v>0</v>
          </cell>
          <cell r="AW343">
            <v>6.31</v>
          </cell>
          <cell r="AX343">
            <v>6.69</v>
          </cell>
          <cell r="AY343">
            <v>6.73</v>
          </cell>
          <cell r="AZ343">
            <v>6.77</v>
          </cell>
          <cell r="BA343">
            <v>6.85</v>
          </cell>
          <cell r="BB343">
            <v>6.85</v>
          </cell>
          <cell r="BC343">
            <v>6.69</v>
          </cell>
          <cell r="BD343">
            <v>0</v>
          </cell>
          <cell r="BE343">
            <v>8.7200000000000006</v>
          </cell>
          <cell r="BF343">
            <v>9.25</v>
          </cell>
          <cell r="BG343">
            <v>9.3000000000000007</v>
          </cell>
          <cell r="BH343">
            <v>9.36</v>
          </cell>
          <cell r="BI343">
            <v>9.4700000000000006</v>
          </cell>
          <cell r="BJ343">
            <v>9.59</v>
          </cell>
          <cell r="BK343">
            <v>9.25</v>
          </cell>
        </row>
        <row r="344">
          <cell r="A344">
            <v>7891721027451</v>
          </cell>
          <cell r="B344">
            <v>1008903400120</v>
          </cell>
          <cell r="C344">
            <v>525420302112310</v>
          </cell>
          <cell r="D344" t="str">
            <v>GLIFAGE XR</v>
          </cell>
          <cell r="E344" t="str">
            <v>750 MG COM AP CT BL AL PLAS INC X 30</v>
          </cell>
          <cell r="F344" t="str">
            <v>Comprimido</v>
          </cell>
          <cell r="G344"/>
          <cell r="H344"/>
          <cell r="I344">
            <v>30</v>
          </cell>
          <cell r="J344"/>
          <cell r="K344" t="str">
            <v>Conformidade</v>
          </cell>
          <cell r="L344">
            <v>3</v>
          </cell>
          <cell r="M344" t="str">
            <v>Tarja Vermelha</v>
          </cell>
          <cell r="N344" t="str">
            <v>Não</v>
          </cell>
          <cell r="O344" t="str">
            <v>Não</v>
          </cell>
          <cell r="P344" t="str">
            <v>Não</v>
          </cell>
          <cell r="Q344" t="str">
            <v>I</v>
          </cell>
          <cell r="R344"/>
          <cell r="S344" t="str">
            <v>Genérico</v>
          </cell>
          <cell r="T344" t="str">
            <v>Monitorado</v>
          </cell>
          <cell r="U344"/>
          <cell r="V344" t="str">
            <v>1115-70-4</v>
          </cell>
          <cell r="W344"/>
          <cell r="X344"/>
          <cell r="Y344" t="str">
            <v>MG</v>
          </cell>
          <cell r="Z344">
            <v>5782</v>
          </cell>
          <cell r="AA344" t="str">
            <v>65 - ANTIDIABÉTICOS BIGUANIDAS PUROS</v>
          </cell>
          <cell r="AB344" t="str">
            <v>N</v>
          </cell>
          <cell r="AC344" t="str">
            <v>N</v>
          </cell>
          <cell r="AD344">
            <v>0</v>
          </cell>
          <cell r="AE344" t="str">
            <v>N</v>
          </cell>
          <cell r="AF344">
            <v>0</v>
          </cell>
          <cell r="AG344">
            <v>18.670000000000002</v>
          </cell>
          <cell r="AH344">
            <v>19.79</v>
          </cell>
          <cell r="AI344">
            <v>0</v>
          </cell>
          <cell r="AJ344">
            <v>20.04</v>
          </cell>
          <cell r="AK344">
            <v>20.28</v>
          </cell>
          <cell r="AL344">
            <v>0</v>
          </cell>
          <cell r="AM344">
            <v>19.79</v>
          </cell>
          <cell r="AN344">
            <v>0</v>
          </cell>
          <cell r="AO344">
            <v>25.81</v>
          </cell>
          <cell r="AP344">
            <v>27.36</v>
          </cell>
          <cell r="AQ344">
            <v>0</v>
          </cell>
          <cell r="AR344">
            <v>27.7</v>
          </cell>
          <cell r="AS344">
            <v>28.04</v>
          </cell>
          <cell r="AT344">
            <v>0</v>
          </cell>
          <cell r="AU344">
            <v>27.36</v>
          </cell>
          <cell r="AV344">
            <v>0</v>
          </cell>
          <cell r="AW344">
            <v>18.93</v>
          </cell>
          <cell r="AX344">
            <v>20.07</v>
          </cell>
          <cell r="AY344">
            <v>20.190000000000001</v>
          </cell>
          <cell r="AZ344">
            <v>20.309999999999999</v>
          </cell>
          <cell r="BA344">
            <v>20.56</v>
          </cell>
          <cell r="BB344">
            <v>20.56</v>
          </cell>
          <cell r="BC344">
            <v>20.07</v>
          </cell>
          <cell r="BD344">
            <v>0</v>
          </cell>
          <cell r="BE344">
            <v>26.17</v>
          </cell>
          <cell r="BF344">
            <v>27.75</v>
          </cell>
          <cell r="BG344">
            <v>27.91</v>
          </cell>
          <cell r="BH344">
            <v>28.08</v>
          </cell>
          <cell r="BI344">
            <v>28.42</v>
          </cell>
          <cell r="BJ344">
            <v>28.78</v>
          </cell>
          <cell r="BK344">
            <v>27.75</v>
          </cell>
        </row>
        <row r="345">
          <cell r="A345"/>
          <cell r="B345"/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  <cell r="AM345"/>
          <cell r="AN345"/>
          <cell r="AO345"/>
          <cell r="AP345"/>
          <cell r="AQ345"/>
          <cell r="AR345"/>
          <cell r="AS345"/>
          <cell r="AT345"/>
          <cell r="AU345"/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/>
          <cell r="BG345"/>
          <cell r="BH345"/>
          <cell r="BI345"/>
          <cell r="BJ345"/>
          <cell r="BK345"/>
        </row>
        <row r="346">
          <cell r="A346"/>
          <cell r="B346"/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M346"/>
          <cell r="AN346"/>
          <cell r="AO346"/>
          <cell r="AP346"/>
          <cell r="AQ346"/>
          <cell r="AR346"/>
          <cell r="AS346"/>
          <cell r="AT346"/>
          <cell r="AU346"/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/>
          <cell r="BG346"/>
          <cell r="BH346"/>
          <cell r="BI346"/>
          <cell r="BJ346"/>
          <cell r="BK346"/>
        </row>
        <row r="347">
          <cell r="A347">
            <v>7891721200014</v>
          </cell>
          <cell r="B347">
            <v>1008903160014</v>
          </cell>
          <cell r="C347">
            <v>525418101113113</v>
          </cell>
          <cell r="D347" t="str">
            <v>GLIMEPIRIDA</v>
          </cell>
          <cell r="E347" t="str">
            <v>1 MG COM CT BL AL PLAS INC X 30 </v>
          </cell>
          <cell r="F347" t="str">
            <v>Comprimido</v>
          </cell>
          <cell r="G347"/>
          <cell r="H347"/>
          <cell r="I347">
            <v>30</v>
          </cell>
          <cell r="J347"/>
          <cell r="K347" t="str">
            <v>Conformidade</v>
          </cell>
          <cell r="L347">
            <v>2</v>
          </cell>
          <cell r="M347" t="str">
            <v>Tarja Vermelha</v>
          </cell>
          <cell r="N347" t="str">
            <v>Não</v>
          </cell>
          <cell r="O347" t="str">
            <v>Não</v>
          </cell>
          <cell r="P347" t="str">
            <v>Não</v>
          </cell>
          <cell r="Q347" t="str">
            <v>I</v>
          </cell>
          <cell r="R347"/>
          <cell r="S347" t="str">
            <v>Genérico</v>
          </cell>
          <cell r="T347" t="str">
            <v>Monitorado</v>
          </cell>
          <cell r="U347"/>
          <cell r="V347" t="str">
            <v>93479-97-1</v>
          </cell>
          <cell r="W347"/>
          <cell r="X347"/>
          <cell r="Y347" t="str">
            <v>MG</v>
          </cell>
          <cell r="Z347">
            <v>4494</v>
          </cell>
          <cell r="AA347" t="str">
            <v>64 - ANTIDIABÉTICOS SULFONILOURÉIAS PUROS</v>
          </cell>
          <cell r="AB347" t="str">
            <v>N</v>
          </cell>
          <cell r="AC347" t="str">
            <v>N</v>
          </cell>
          <cell r="AD347">
            <v>0</v>
          </cell>
          <cell r="AE347" t="str">
            <v>N</v>
          </cell>
          <cell r="AF347">
            <v>0</v>
          </cell>
          <cell r="AG347">
            <v>16.670000000000002</v>
          </cell>
          <cell r="AH347">
            <v>17.670000000000002</v>
          </cell>
          <cell r="AI347">
            <v>0</v>
          </cell>
          <cell r="AJ347">
            <v>17.89</v>
          </cell>
          <cell r="AK347">
            <v>18.11</v>
          </cell>
          <cell r="AL347">
            <v>0</v>
          </cell>
          <cell r="AM347">
            <v>17.670000000000002</v>
          </cell>
          <cell r="AN347">
            <v>0</v>
          </cell>
          <cell r="AO347">
            <v>23.05</v>
          </cell>
          <cell r="AP347">
            <v>24.43</v>
          </cell>
          <cell r="AQ347">
            <v>0</v>
          </cell>
          <cell r="AR347">
            <v>24.73</v>
          </cell>
          <cell r="AS347">
            <v>25.04</v>
          </cell>
          <cell r="AT347">
            <v>0</v>
          </cell>
          <cell r="AU347">
            <v>24.43</v>
          </cell>
          <cell r="AV347">
            <v>0</v>
          </cell>
          <cell r="AW347">
            <v>17.18</v>
          </cell>
          <cell r="AX347">
            <v>18.21</v>
          </cell>
          <cell r="AY347">
            <v>18.329999999999998</v>
          </cell>
          <cell r="AZ347">
            <v>18.440000000000001</v>
          </cell>
          <cell r="BA347">
            <v>18.66</v>
          </cell>
          <cell r="BB347">
            <v>18.66</v>
          </cell>
          <cell r="BC347">
            <v>18.21</v>
          </cell>
          <cell r="BD347">
            <v>0</v>
          </cell>
          <cell r="BE347">
            <v>23.75</v>
          </cell>
          <cell r="BF347">
            <v>25.17</v>
          </cell>
          <cell r="BG347">
            <v>25.34</v>
          </cell>
          <cell r="BH347">
            <v>25.49</v>
          </cell>
          <cell r="BI347">
            <v>25.8</v>
          </cell>
          <cell r="BJ347">
            <v>26.13</v>
          </cell>
          <cell r="BK347">
            <v>25.17</v>
          </cell>
        </row>
        <row r="348">
          <cell r="A348"/>
          <cell r="B348"/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  <cell r="AQ348"/>
          <cell r="AR348"/>
          <cell r="AS348"/>
          <cell r="AT348"/>
          <cell r="AU348"/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/>
          <cell r="BG348"/>
          <cell r="BH348"/>
          <cell r="BI348"/>
          <cell r="BJ348"/>
          <cell r="BK348"/>
        </row>
        <row r="349">
          <cell r="A349"/>
          <cell r="B349"/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  <cell r="AQ349"/>
          <cell r="AR349"/>
          <cell r="AS349"/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/>
          <cell r="BG349"/>
          <cell r="BH349"/>
          <cell r="BI349"/>
          <cell r="BJ349"/>
          <cell r="BK349"/>
        </row>
        <row r="350">
          <cell r="A350">
            <v>7891721200045</v>
          </cell>
          <cell r="B350">
            <v>1008903160049</v>
          </cell>
          <cell r="C350">
            <v>525418102111114</v>
          </cell>
          <cell r="D350" t="str">
            <v>GLIMEPIRIDA</v>
          </cell>
          <cell r="E350" t="str">
            <v>2 MG COM CT BL AL PLAS INC X 30 </v>
          </cell>
          <cell r="F350" t="str">
            <v>Comprimido</v>
          </cell>
          <cell r="G350"/>
          <cell r="H350"/>
          <cell r="I350">
            <v>30</v>
          </cell>
          <cell r="J350"/>
          <cell r="K350" t="str">
            <v>Conformidade</v>
          </cell>
          <cell r="L350">
            <v>2</v>
          </cell>
          <cell r="M350" t="str">
            <v>Tarja Vermelha</v>
          </cell>
          <cell r="N350" t="str">
            <v>Não</v>
          </cell>
          <cell r="O350" t="str">
            <v>Não</v>
          </cell>
          <cell r="P350" t="str">
            <v>Não</v>
          </cell>
          <cell r="Q350" t="str">
            <v>I</v>
          </cell>
          <cell r="R350"/>
          <cell r="S350" t="str">
            <v>Genérico</v>
          </cell>
          <cell r="T350" t="str">
            <v>Monitorado</v>
          </cell>
          <cell r="U350"/>
          <cell r="V350" t="str">
            <v>93479-97-1</v>
          </cell>
          <cell r="W350"/>
          <cell r="X350"/>
          <cell r="Y350" t="str">
            <v>MG</v>
          </cell>
          <cell r="Z350">
            <v>4494</v>
          </cell>
          <cell r="AA350" t="str">
            <v>64 - ANTIDIABÉTICOS SULFONILOURÉIAS PUROS</v>
          </cell>
          <cell r="AB350" t="str">
            <v>N</v>
          </cell>
          <cell r="AC350" t="str">
            <v>N</v>
          </cell>
          <cell r="AD350">
            <v>0</v>
          </cell>
          <cell r="AE350" t="str">
            <v>N</v>
          </cell>
          <cell r="AF350">
            <v>0</v>
          </cell>
          <cell r="AG350">
            <v>28.96</v>
          </cell>
          <cell r="AH350">
            <v>30.71</v>
          </cell>
          <cell r="AI350">
            <v>0</v>
          </cell>
          <cell r="AJ350">
            <v>31.08</v>
          </cell>
          <cell r="AK350">
            <v>31.47</v>
          </cell>
          <cell r="AL350">
            <v>0</v>
          </cell>
          <cell r="AM350">
            <v>30.71</v>
          </cell>
          <cell r="AN350">
            <v>0</v>
          </cell>
          <cell r="AO350">
            <v>40.04</v>
          </cell>
          <cell r="AP350">
            <v>42.45</v>
          </cell>
          <cell r="AQ350">
            <v>0</v>
          </cell>
          <cell r="AR350">
            <v>42.97</v>
          </cell>
          <cell r="AS350">
            <v>43.51</v>
          </cell>
          <cell r="AT350">
            <v>0</v>
          </cell>
          <cell r="AU350">
            <v>42.45</v>
          </cell>
          <cell r="AV350">
            <v>0</v>
          </cell>
          <cell r="AW350">
            <v>29.85</v>
          </cell>
          <cell r="AX350">
            <v>31.64</v>
          </cell>
          <cell r="AY350">
            <v>31.84</v>
          </cell>
          <cell r="AZ350">
            <v>32.03</v>
          </cell>
          <cell r="BA350">
            <v>32.43</v>
          </cell>
          <cell r="BB350">
            <v>32.43</v>
          </cell>
          <cell r="BC350">
            <v>31.64</v>
          </cell>
          <cell r="BD350">
            <v>0</v>
          </cell>
          <cell r="BE350">
            <v>41.27</v>
          </cell>
          <cell r="BF350">
            <v>43.74</v>
          </cell>
          <cell r="BG350">
            <v>44.02</v>
          </cell>
          <cell r="BH350">
            <v>44.28</v>
          </cell>
          <cell r="BI350">
            <v>44.83</v>
          </cell>
          <cell r="BJ350">
            <v>45.39</v>
          </cell>
          <cell r="BK350">
            <v>43.74</v>
          </cell>
        </row>
        <row r="351">
          <cell r="A351"/>
          <cell r="B351"/>
          <cell r="C351"/>
          <cell r="D351"/>
          <cell r="E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  <cell r="AS351"/>
          <cell r="AT351"/>
          <cell r="AU351"/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/>
          <cell r="BG351"/>
          <cell r="BH351"/>
          <cell r="BI351"/>
          <cell r="BJ351"/>
          <cell r="BK351"/>
        </row>
        <row r="352">
          <cell r="A352">
            <v>7891721200076</v>
          </cell>
          <cell r="B352">
            <v>1008903160073</v>
          </cell>
          <cell r="C352">
            <v>525418103116111</v>
          </cell>
          <cell r="D352" t="str">
            <v>GLIMEPIRIDA</v>
          </cell>
          <cell r="E352" t="str">
            <v>4 MG COM CT BL AL PLAS INC X 30 </v>
          </cell>
          <cell r="F352" t="str">
            <v>Comprimido</v>
          </cell>
          <cell r="G352"/>
          <cell r="H352"/>
          <cell r="I352">
            <v>30</v>
          </cell>
          <cell r="J352"/>
          <cell r="K352" t="str">
            <v>Conformidade</v>
          </cell>
          <cell r="L352">
            <v>2</v>
          </cell>
          <cell r="M352" t="str">
            <v>Tarja Vermelha</v>
          </cell>
          <cell r="N352" t="str">
            <v>Não</v>
          </cell>
          <cell r="O352" t="str">
            <v>Não</v>
          </cell>
          <cell r="P352" t="str">
            <v>Não</v>
          </cell>
          <cell r="Q352" t="str">
            <v>I</v>
          </cell>
          <cell r="R352"/>
          <cell r="S352" t="str">
            <v>Genérico</v>
          </cell>
          <cell r="T352" t="str">
            <v>Monitorado</v>
          </cell>
          <cell r="U352"/>
          <cell r="V352" t="str">
            <v>93479-97-1</v>
          </cell>
          <cell r="W352"/>
          <cell r="X352"/>
          <cell r="Y352" t="str">
            <v>MG</v>
          </cell>
          <cell r="Z352">
            <v>4494</v>
          </cell>
          <cell r="AA352" t="str">
            <v>64 - ANTIDIABÉTICOS SULFONILOURÉIAS PUROS</v>
          </cell>
          <cell r="AB352" t="str">
            <v>N</v>
          </cell>
          <cell r="AC352" t="str">
            <v>N</v>
          </cell>
          <cell r="AD352">
            <v>0</v>
          </cell>
          <cell r="AE352" t="str">
            <v>N</v>
          </cell>
          <cell r="AF352">
            <v>0</v>
          </cell>
          <cell r="AG352">
            <v>50.23</v>
          </cell>
          <cell r="AH352">
            <v>53.26</v>
          </cell>
          <cell r="AI352">
            <v>0</v>
          </cell>
          <cell r="AJ352">
            <v>53.91</v>
          </cell>
          <cell r="AK352">
            <v>54.58</v>
          </cell>
          <cell r="AL352">
            <v>0</v>
          </cell>
          <cell r="AM352">
            <v>53.26</v>
          </cell>
          <cell r="AN352">
            <v>0</v>
          </cell>
          <cell r="AO352">
            <v>69.44</v>
          </cell>
          <cell r="AP352">
            <v>73.63</v>
          </cell>
          <cell r="AQ352">
            <v>0</v>
          </cell>
          <cell r="AR352">
            <v>74.53</v>
          </cell>
          <cell r="AS352">
            <v>75.45</v>
          </cell>
          <cell r="AT352">
            <v>0</v>
          </cell>
          <cell r="AU352">
            <v>73.63</v>
          </cell>
          <cell r="AV352">
            <v>0</v>
          </cell>
          <cell r="AW352">
            <v>51.77</v>
          </cell>
          <cell r="AX352">
            <v>54.89</v>
          </cell>
          <cell r="AY352">
            <v>55.22</v>
          </cell>
          <cell r="AZ352">
            <v>55.56</v>
          </cell>
          <cell r="BA352">
            <v>56.24</v>
          </cell>
          <cell r="BB352">
            <v>56.24</v>
          </cell>
          <cell r="BC352">
            <v>54.89</v>
          </cell>
          <cell r="BD352">
            <v>0</v>
          </cell>
          <cell r="BE352">
            <v>71.569999999999993</v>
          </cell>
          <cell r="BF352">
            <v>75.88</v>
          </cell>
          <cell r="BG352">
            <v>76.34</v>
          </cell>
          <cell r="BH352">
            <v>76.81</v>
          </cell>
          <cell r="BI352">
            <v>77.75</v>
          </cell>
          <cell r="BJ352">
            <v>78.73</v>
          </cell>
          <cell r="BK352">
            <v>75.88</v>
          </cell>
        </row>
        <row r="353">
          <cell r="A353"/>
          <cell r="B353"/>
          <cell r="C353"/>
          <cell r="D353"/>
          <cell r="E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  <cell r="AM353"/>
          <cell r="AN353"/>
          <cell r="AO353"/>
          <cell r="AP353"/>
          <cell r="AQ353"/>
          <cell r="AR353"/>
          <cell r="AS353"/>
          <cell r="AT353"/>
          <cell r="AU353"/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/>
          <cell r="BG353"/>
          <cell r="BH353"/>
          <cell r="BI353"/>
          <cell r="BJ353"/>
          <cell r="BK353"/>
        </row>
        <row r="354">
          <cell r="A354">
            <v>7891721025839</v>
          </cell>
          <cell r="B354">
            <v>1008902700201</v>
          </cell>
          <cell r="C354">
            <v>525405207112313</v>
          </cell>
          <cell r="D354" t="str">
            <v>GLUCOVANCE</v>
          </cell>
          <cell r="E354" t="str">
            <v>1000 MG + 5 MG COM REV EST BL AL PVC/PVDC INC X 30</v>
          </cell>
          <cell r="F354" t="str">
            <v>Comprimido revestido</v>
          </cell>
          <cell r="G354"/>
          <cell r="H354"/>
          <cell r="I354">
            <v>30</v>
          </cell>
          <cell r="J354"/>
          <cell r="K354" t="str">
            <v>Conformidade</v>
          </cell>
          <cell r="L354">
            <v>3</v>
          </cell>
          <cell r="M354" t="str">
            <v>Tarja Vermelha</v>
          </cell>
          <cell r="N354" t="str">
            <v>Não</v>
          </cell>
          <cell r="O354" t="str">
            <v>Não</v>
          </cell>
          <cell r="P354" t="str">
            <v>Não</v>
          </cell>
          <cell r="Q354" t="str">
            <v>II</v>
          </cell>
          <cell r="R354"/>
          <cell r="S354" t="str">
            <v>Similar</v>
          </cell>
          <cell r="T354" t="str">
            <v>Monitorado</v>
          </cell>
          <cell r="U354"/>
          <cell r="V354" t="str">
            <v>1115-70-4,10238-21-8</v>
          </cell>
          <cell r="W354"/>
          <cell r="X354"/>
          <cell r="Y354" t="str">
            <v>MG</v>
          </cell>
          <cell r="Z354">
            <v>5782.0445099999997</v>
          </cell>
          <cell r="AA354" t="str">
            <v>66 - ASSOCIAÇÕES DE ANTIDIABÉTICOS SULFONILOURÉIA COM BIGUANIDAS</v>
          </cell>
          <cell r="AB354" t="str">
            <v>N</v>
          </cell>
          <cell r="AC354" t="str">
            <v>N</v>
          </cell>
          <cell r="AD354">
            <v>0</v>
          </cell>
          <cell r="AE354" t="str">
            <v>N</v>
          </cell>
          <cell r="AF354">
            <v>0</v>
          </cell>
          <cell r="AG354">
            <v>44.85</v>
          </cell>
          <cell r="AH354">
            <v>47.55</v>
          </cell>
          <cell r="AI354">
            <v>0</v>
          </cell>
          <cell r="AJ354">
            <v>48.13</v>
          </cell>
          <cell r="AK354">
            <v>48.72</v>
          </cell>
          <cell r="AL354">
            <v>0</v>
          </cell>
          <cell r="AM354">
            <v>47.55</v>
          </cell>
          <cell r="AN354">
            <v>0</v>
          </cell>
          <cell r="AO354">
            <v>62</v>
          </cell>
          <cell r="AP354">
            <v>65.739999999999995</v>
          </cell>
          <cell r="AQ354">
            <v>0</v>
          </cell>
          <cell r="AR354">
            <v>66.53</v>
          </cell>
          <cell r="AS354">
            <v>67.349999999999994</v>
          </cell>
          <cell r="AT354">
            <v>0</v>
          </cell>
          <cell r="AU354">
            <v>65.739999999999995</v>
          </cell>
          <cell r="AV354">
            <v>0</v>
          </cell>
          <cell r="AW354">
            <v>45.46</v>
          </cell>
          <cell r="AX354">
            <v>48.2</v>
          </cell>
          <cell r="AY354">
            <v>48.49</v>
          </cell>
          <cell r="AZ354">
            <v>48.78</v>
          </cell>
          <cell r="BA354">
            <v>49.39</v>
          </cell>
          <cell r="BB354">
            <v>49.39</v>
          </cell>
          <cell r="BC354">
            <v>48.2</v>
          </cell>
          <cell r="BD354">
            <v>0</v>
          </cell>
          <cell r="BE354">
            <v>62.85</v>
          </cell>
          <cell r="BF354">
            <v>66.63</v>
          </cell>
          <cell r="BG354">
            <v>67.03</v>
          </cell>
          <cell r="BH354">
            <v>67.44</v>
          </cell>
          <cell r="BI354">
            <v>68.28</v>
          </cell>
          <cell r="BJ354">
            <v>69.12</v>
          </cell>
          <cell r="BK354">
            <v>66.63</v>
          </cell>
        </row>
        <row r="355">
          <cell r="A355"/>
          <cell r="B355"/>
          <cell r="C355"/>
          <cell r="D355"/>
          <cell r="E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/>
          <cell r="AO355"/>
          <cell r="AP355"/>
          <cell r="AQ355"/>
          <cell r="AR355"/>
          <cell r="AS355"/>
          <cell r="AT355"/>
          <cell r="AU355"/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/>
          <cell r="BG355"/>
          <cell r="BH355"/>
          <cell r="BI355"/>
          <cell r="BJ355"/>
          <cell r="BK355"/>
        </row>
        <row r="356">
          <cell r="A356">
            <v>7891721026607</v>
          </cell>
          <cell r="B356">
            <v>1008902700023</v>
          </cell>
          <cell r="C356">
            <v>525405201114411</v>
          </cell>
          <cell r="D356" t="str">
            <v>GLUCOVANCE</v>
          </cell>
          <cell r="E356" t="str">
            <v>250 MG + 1,25 MG COM REV CT BL AL PLAS INC X 30</v>
          </cell>
          <cell r="F356" t="str">
            <v>Comprimido revestido</v>
          </cell>
          <cell r="G356"/>
          <cell r="H356"/>
          <cell r="I356">
            <v>30</v>
          </cell>
          <cell r="J356"/>
          <cell r="K356" t="str">
            <v>Conformidade</v>
          </cell>
          <cell r="L356">
            <v>3</v>
          </cell>
          <cell r="M356" t="str">
            <v>Tarja Vermelha</v>
          </cell>
          <cell r="N356" t="str">
            <v>Não</v>
          </cell>
          <cell r="O356" t="str">
            <v>Não</v>
          </cell>
          <cell r="P356" t="str">
            <v>Não</v>
          </cell>
          <cell r="Q356" t="str">
            <v>II</v>
          </cell>
          <cell r="R356"/>
          <cell r="S356" t="str">
            <v>Similar</v>
          </cell>
          <cell r="T356" t="str">
            <v>Monitorado</v>
          </cell>
          <cell r="U356"/>
          <cell r="V356" t="str">
            <v>1115-70-4,10238-21-8</v>
          </cell>
          <cell r="W356"/>
          <cell r="X356"/>
          <cell r="Y356" t="str">
            <v>MG</v>
          </cell>
          <cell r="Z356">
            <v>5782.0445099999997</v>
          </cell>
          <cell r="AA356" t="str">
            <v>66 - ASSOCIAÇÕES DE ANTIDIABÉTICOS SULFONILOURÉIA COM BIGUANIDAS</v>
          </cell>
          <cell r="AB356" t="str">
            <v>N</v>
          </cell>
          <cell r="AC356" t="str">
            <v>N</v>
          </cell>
          <cell r="AD356">
            <v>0</v>
          </cell>
          <cell r="AE356" t="str">
            <v>N</v>
          </cell>
          <cell r="AF356">
            <v>0</v>
          </cell>
          <cell r="AG356">
            <v>10.01</v>
          </cell>
          <cell r="AH356">
            <v>10.61</v>
          </cell>
          <cell r="AI356">
            <v>0</v>
          </cell>
          <cell r="AJ356">
            <v>10.74</v>
          </cell>
          <cell r="AK356">
            <v>10.88</v>
          </cell>
          <cell r="AL356">
            <v>0</v>
          </cell>
          <cell r="AM356">
            <v>10.61</v>
          </cell>
          <cell r="AN356">
            <v>0</v>
          </cell>
          <cell r="AO356">
            <v>13.84</v>
          </cell>
          <cell r="AP356">
            <v>14.67</v>
          </cell>
          <cell r="AQ356">
            <v>0</v>
          </cell>
          <cell r="AR356">
            <v>14.85</v>
          </cell>
          <cell r="AS356">
            <v>15.04</v>
          </cell>
          <cell r="AT356">
            <v>0</v>
          </cell>
          <cell r="AU356">
            <v>14.67</v>
          </cell>
          <cell r="AV356">
            <v>0</v>
          </cell>
          <cell r="AW356">
            <v>10.14</v>
          </cell>
          <cell r="AX356">
            <v>10.75</v>
          </cell>
          <cell r="AY356">
            <v>10.82</v>
          </cell>
          <cell r="AZ356">
            <v>10.89</v>
          </cell>
          <cell r="BA356">
            <v>11.02</v>
          </cell>
          <cell r="BB356">
            <v>11.02</v>
          </cell>
          <cell r="BC356">
            <v>10.75</v>
          </cell>
          <cell r="BD356">
            <v>0</v>
          </cell>
          <cell r="BE356">
            <v>14.02</v>
          </cell>
          <cell r="BF356">
            <v>14.86</v>
          </cell>
          <cell r="BG356">
            <v>14.96</v>
          </cell>
          <cell r="BH356">
            <v>15.05</v>
          </cell>
          <cell r="BI356">
            <v>15.23</v>
          </cell>
          <cell r="BJ356">
            <v>15.43</v>
          </cell>
          <cell r="BK356">
            <v>14.86</v>
          </cell>
        </row>
        <row r="357">
          <cell r="A357"/>
          <cell r="B357"/>
          <cell r="C357"/>
          <cell r="D357"/>
          <cell r="E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  <cell r="AS357"/>
          <cell r="AT357"/>
          <cell r="AU357"/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/>
          <cell r="BG357"/>
          <cell r="BH357"/>
          <cell r="BI357"/>
          <cell r="BJ357"/>
          <cell r="BK357"/>
        </row>
        <row r="358">
          <cell r="A358">
            <v>7891721026614</v>
          </cell>
          <cell r="B358">
            <v>1008902700066</v>
          </cell>
          <cell r="C358">
            <v>525405203117418</v>
          </cell>
          <cell r="D358" t="str">
            <v>GLUCOVANCE</v>
          </cell>
          <cell r="E358" t="str">
            <v>500 MG + 2,5 MG COM REV CT BL AL PLAS INC X 30</v>
          </cell>
          <cell r="F358" t="str">
            <v>Comprimido revestido</v>
          </cell>
          <cell r="G358"/>
          <cell r="H358"/>
          <cell r="I358">
            <v>30</v>
          </cell>
          <cell r="J358"/>
          <cell r="K358" t="str">
            <v>Conformidade</v>
          </cell>
          <cell r="L358">
            <v>3</v>
          </cell>
          <cell r="M358" t="str">
            <v>Tarja Vermelha</v>
          </cell>
          <cell r="N358" t="str">
            <v>Não</v>
          </cell>
          <cell r="O358" t="str">
            <v>Não</v>
          </cell>
          <cell r="P358" t="str">
            <v>Não</v>
          </cell>
          <cell r="Q358" t="str">
            <v>II</v>
          </cell>
          <cell r="R358"/>
          <cell r="S358" t="str">
            <v>Similar</v>
          </cell>
          <cell r="T358" t="str">
            <v>Monitorado</v>
          </cell>
          <cell r="U358"/>
          <cell r="V358" t="str">
            <v>1115-70-4,10238-21-8</v>
          </cell>
          <cell r="W358"/>
          <cell r="X358"/>
          <cell r="Y358" t="str">
            <v>MG</v>
          </cell>
          <cell r="Z358">
            <v>5782.0445099999997</v>
          </cell>
          <cell r="AA358" t="str">
            <v>66 - ASSOCIAÇÕES DE ANTIDIABÉTICOS SULFONILOURÉIA COM BIGUANIDAS</v>
          </cell>
          <cell r="AB358" t="str">
            <v>N</v>
          </cell>
          <cell r="AC358" t="str">
            <v>N</v>
          </cell>
          <cell r="AD358">
            <v>0</v>
          </cell>
          <cell r="AE358" t="str">
            <v>N</v>
          </cell>
          <cell r="AF358">
            <v>0</v>
          </cell>
          <cell r="AG358">
            <v>20.100000000000001</v>
          </cell>
          <cell r="AH358">
            <v>21.31</v>
          </cell>
          <cell r="AI358">
            <v>0</v>
          </cell>
          <cell r="AJ358">
            <v>21.57</v>
          </cell>
          <cell r="AK358">
            <v>21.83</v>
          </cell>
          <cell r="AL358">
            <v>0</v>
          </cell>
          <cell r="AM358">
            <v>21.31</v>
          </cell>
          <cell r="AN358">
            <v>0</v>
          </cell>
          <cell r="AO358">
            <v>27.79</v>
          </cell>
          <cell r="AP358">
            <v>29.46</v>
          </cell>
          <cell r="AQ358">
            <v>0</v>
          </cell>
          <cell r="AR358">
            <v>29.81</v>
          </cell>
          <cell r="AS358">
            <v>30.18</v>
          </cell>
          <cell r="AT358">
            <v>0</v>
          </cell>
          <cell r="AU358">
            <v>29.46</v>
          </cell>
          <cell r="AV358">
            <v>0</v>
          </cell>
          <cell r="AW358">
            <v>20.37</v>
          </cell>
          <cell r="AX358">
            <v>21.6</v>
          </cell>
          <cell r="AY358">
            <v>21.73</v>
          </cell>
          <cell r="AZ358">
            <v>21.86</v>
          </cell>
          <cell r="BA358">
            <v>22.13</v>
          </cell>
          <cell r="BB358">
            <v>22.13</v>
          </cell>
          <cell r="BC358">
            <v>21.6</v>
          </cell>
          <cell r="BD358">
            <v>0</v>
          </cell>
          <cell r="BE358">
            <v>28.16</v>
          </cell>
          <cell r="BF358">
            <v>29.86</v>
          </cell>
          <cell r="BG358">
            <v>30.04</v>
          </cell>
          <cell r="BH358">
            <v>30.22</v>
          </cell>
          <cell r="BI358">
            <v>30.59</v>
          </cell>
          <cell r="BJ358">
            <v>30.98</v>
          </cell>
          <cell r="BK358">
            <v>29.86</v>
          </cell>
        </row>
        <row r="359">
          <cell r="A359"/>
          <cell r="B359"/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  <cell r="AM359"/>
          <cell r="AN359"/>
          <cell r="AO359"/>
          <cell r="AP359"/>
          <cell r="AQ359"/>
          <cell r="AR359"/>
          <cell r="AS359"/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/>
          <cell r="BG359"/>
          <cell r="BH359"/>
          <cell r="BI359"/>
          <cell r="BJ359"/>
          <cell r="BK359"/>
        </row>
        <row r="360">
          <cell r="A360">
            <v>7891721016639</v>
          </cell>
          <cell r="B360">
            <v>1008902700171</v>
          </cell>
          <cell r="C360">
            <v>525405204113319</v>
          </cell>
          <cell r="D360" t="str">
            <v>GLUCOVANCE</v>
          </cell>
          <cell r="E360" t="str">
            <v>500 MG + 2,5 MG COM REV EST BL AL PLAS INC X 10</v>
          </cell>
          <cell r="F360" t="str">
            <v>Comprimido revestido</v>
          </cell>
          <cell r="G360"/>
          <cell r="H360"/>
          <cell r="I360">
            <v>10</v>
          </cell>
          <cell r="J360"/>
          <cell r="K360" t="str">
            <v>Conformidade</v>
          </cell>
          <cell r="L360">
            <v>3</v>
          </cell>
          <cell r="M360" t="str">
            <v>Tarja Vermelha</v>
          </cell>
          <cell r="N360" t="str">
            <v>Não</v>
          </cell>
          <cell r="O360" t="str">
            <v>Não</v>
          </cell>
          <cell r="P360" t="str">
            <v>Não</v>
          </cell>
          <cell r="Q360" t="str">
            <v>II</v>
          </cell>
          <cell r="R360"/>
          <cell r="S360" t="str">
            <v>Similar</v>
          </cell>
          <cell r="T360" t="str">
            <v>Monitorado</v>
          </cell>
          <cell r="U360"/>
          <cell r="V360" t="str">
            <v>1115-70-4,10238-21-8</v>
          </cell>
          <cell r="W360"/>
          <cell r="X360"/>
          <cell r="Y360" t="str">
            <v>MG</v>
          </cell>
          <cell r="Z360">
            <v>5782.0445099999997</v>
          </cell>
          <cell r="AA360" t="str">
            <v>66 - ASSOCIAÇÕES DE ANTIDIABÉTICOS SULFONILOURÉIA COM BIGUANIDAS</v>
          </cell>
          <cell r="AB360" t="str">
            <v>N</v>
          </cell>
          <cell r="AC360" t="str">
            <v>N</v>
          </cell>
          <cell r="AD360">
            <v>0</v>
          </cell>
          <cell r="AE360" t="str">
            <v>N</v>
          </cell>
          <cell r="AF360">
            <v>0</v>
          </cell>
          <cell r="AG360">
            <v>6.69</v>
          </cell>
          <cell r="AH360">
            <v>7.09</v>
          </cell>
          <cell r="AI360">
            <v>0</v>
          </cell>
          <cell r="AJ360">
            <v>7.18</v>
          </cell>
          <cell r="AK360">
            <v>7.27</v>
          </cell>
          <cell r="AL360">
            <v>0</v>
          </cell>
          <cell r="AM360">
            <v>7.09</v>
          </cell>
          <cell r="AN360">
            <v>0</v>
          </cell>
          <cell r="AO360">
            <v>9.25</v>
          </cell>
          <cell r="AP360">
            <v>9.8000000000000007</v>
          </cell>
          <cell r="AQ360">
            <v>0</v>
          </cell>
          <cell r="AR360">
            <v>9.92</v>
          </cell>
          <cell r="AS360">
            <v>10.050000000000001</v>
          </cell>
          <cell r="AT360">
            <v>0</v>
          </cell>
          <cell r="AU360">
            <v>9.8000000000000007</v>
          </cell>
          <cell r="AV360">
            <v>0</v>
          </cell>
          <cell r="AW360">
            <v>6.69</v>
          </cell>
          <cell r="AX360">
            <v>7.09</v>
          </cell>
          <cell r="AY360">
            <v>7.14</v>
          </cell>
          <cell r="AZ360">
            <v>7.18</v>
          </cell>
          <cell r="BA360">
            <v>7.27</v>
          </cell>
          <cell r="BB360">
            <v>7.27</v>
          </cell>
          <cell r="BC360">
            <v>7.09</v>
          </cell>
          <cell r="BD360">
            <v>0</v>
          </cell>
          <cell r="BE360">
            <v>9.25</v>
          </cell>
          <cell r="BF360">
            <v>9.8000000000000007</v>
          </cell>
          <cell r="BG360">
            <v>9.8699999999999992</v>
          </cell>
          <cell r="BH360">
            <v>9.93</v>
          </cell>
          <cell r="BI360">
            <v>10.050000000000001</v>
          </cell>
          <cell r="BJ360">
            <v>10.17</v>
          </cell>
          <cell r="BK360">
            <v>9.8000000000000007</v>
          </cell>
        </row>
        <row r="361">
          <cell r="A361">
            <v>7891721026621</v>
          </cell>
          <cell r="B361">
            <v>1008902700112</v>
          </cell>
          <cell r="C361">
            <v>525405202110411</v>
          </cell>
          <cell r="D361" t="str">
            <v>GLUCOVANCE</v>
          </cell>
          <cell r="E361" t="str">
            <v>500 MG + 5 MG COM REV CT BL AL PLAS INC X 30</v>
          </cell>
          <cell r="F361" t="str">
            <v>Comprimido revestido</v>
          </cell>
          <cell r="G361"/>
          <cell r="H361"/>
          <cell r="I361">
            <v>30</v>
          </cell>
          <cell r="J361"/>
          <cell r="K361" t="str">
            <v>Conformidade</v>
          </cell>
          <cell r="L361">
            <v>3</v>
          </cell>
          <cell r="M361" t="str">
            <v>Tarja Vermelha</v>
          </cell>
          <cell r="N361" t="str">
            <v>Não</v>
          </cell>
          <cell r="O361" t="str">
            <v>Não</v>
          </cell>
          <cell r="P361" t="str">
            <v>Não</v>
          </cell>
          <cell r="Q361" t="str">
            <v>II</v>
          </cell>
          <cell r="R361"/>
          <cell r="S361" t="str">
            <v>Similar</v>
          </cell>
          <cell r="T361" t="str">
            <v>Monitorado</v>
          </cell>
          <cell r="U361"/>
          <cell r="V361" t="str">
            <v>1115-70-4,10238-21-8</v>
          </cell>
          <cell r="W361"/>
          <cell r="X361"/>
          <cell r="Y361" t="str">
            <v>MG</v>
          </cell>
          <cell r="Z361">
            <v>5782.0445099999997</v>
          </cell>
          <cell r="AA361" t="str">
            <v>66 - ASSOCIAÇÕES DE ANTIDIABÉTICOS SULFONILOURÉIA COM BIGUANIDAS</v>
          </cell>
          <cell r="AB361" t="str">
            <v>N</v>
          </cell>
          <cell r="AC361" t="str">
            <v>N</v>
          </cell>
          <cell r="AD361">
            <v>0</v>
          </cell>
          <cell r="AE361" t="str">
            <v>N</v>
          </cell>
          <cell r="AF361">
            <v>0</v>
          </cell>
          <cell r="AG361">
            <v>26.1</v>
          </cell>
          <cell r="AH361">
            <v>27.68</v>
          </cell>
          <cell r="AI361">
            <v>0</v>
          </cell>
          <cell r="AJ361">
            <v>28.01</v>
          </cell>
          <cell r="AK361">
            <v>28.36</v>
          </cell>
          <cell r="AL361">
            <v>0</v>
          </cell>
          <cell r="AM361">
            <v>27.68</v>
          </cell>
          <cell r="AN361">
            <v>0</v>
          </cell>
          <cell r="AO361">
            <v>36.08</v>
          </cell>
          <cell r="AP361">
            <v>38.270000000000003</v>
          </cell>
          <cell r="AQ361">
            <v>0</v>
          </cell>
          <cell r="AR361">
            <v>38.729999999999997</v>
          </cell>
          <cell r="AS361">
            <v>39.21</v>
          </cell>
          <cell r="AT361">
            <v>0</v>
          </cell>
          <cell r="AU361">
            <v>38.270000000000003</v>
          </cell>
          <cell r="AV361">
            <v>0</v>
          </cell>
          <cell r="AW361">
            <v>26.45</v>
          </cell>
          <cell r="AX361">
            <v>28.05</v>
          </cell>
          <cell r="AY361">
            <v>28.22</v>
          </cell>
          <cell r="AZ361">
            <v>28.39</v>
          </cell>
          <cell r="BA361">
            <v>28.74</v>
          </cell>
          <cell r="BB361">
            <v>28.74</v>
          </cell>
          <cell r="BC361">
            <v>28.05</v>
          </cell>
          <cell r="BD361">
            <v>0</v>
          </cell>
          <cell r="BE361">
            <v>36.57</v>
          </cell>
          <cell r="BF361">
            <v>38.78</v>
          </cell>
          <cell r="BG361">
            <v>39.01</v>
          </cell>
          <cell r="BH361">
            <v>39.25</v>
          </cell>
          <cell r="BI361">
            <v>39.729999999999997</v>
          </cell>
          <cell r="BJ361">
            <v>40.229999999999997</v>
          </cell>
          <cell r="BK361">
            <v>38.78</v>
          </cell>
        </row>
        <row r="362">
          <cell r="A362"/>
          <cell r="B362"/>
          <cell r="C362"/>
          <cell r="D362"/>
          <cell r="E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  <cell r="AM362"/>
          <cell r="AN362"/>
          <cell r="AO362"/>
          <cell r="AP362"/>
          <cell r="AQ362"/>
          <cell r="AR362"/>
          <cell r="AS362"/>
          <cell r="AT362"/>
          <cell r="AU362"/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/>
          <cell r="BG362"/>
          <cell r="BH362"/>
          <cell r="BI362"/>
          <cell r="BJ362"/>
          <cell r="BK362"/>
        </row>
        <row r="363">
          <cell r="A363">
            <v>7891721026652</v>
          </cell>
          <cell r="B363">
            <v>1008902700181</v>
          </cell>
          <cell r="C363">
            <v>525405205111311</v>
          </cell>
          <cell r="D363" t="str">
            <v>GLUCOVANCE</v>
          </cell>
          <cell r="E363" t="str">
            <v>500 MG + 5 MG COM REV EST BL AL PLAS INC X 10</v>
          </cell>
          <cell r="F363" t="str">
            <v>Comprimido revestido</v>
          </cell>
          <cell r="G363"/>
          <cell r="H363"/>
          <cell r="I363">
            <v>10</v>
          </cell>
          <cell r="J363"/>
          <cell r="K363" t="str">
            <v>Conformidade</v>
          </cell>
          <cell r="L363">
            <v>3</v>
          </cell>
          <cell r="M363" t="str">
            <v>Tarja Vermelha</v>
          </cell>
          <cell r="N363" t="str">
            <v>Não</v>
          </cell>
          <cell r="O363" t="str">
            <v>Não</v>
          </cell>
          <cell r="P363" t="str">
            <v>Não</v>
          </cell>
          <cell r="Q363" t="str">
            <v>II</v>
          </cell>
          <cell r="R363"/>
          <cell r="S363" t="str">
            <v>Similar</v>
          </cell>
          <cell r="T363" t="str">
            <v>Monitorado</v>
          </cell>
          <cell r="U363"/>
          <cell r="V363" t="str">
            <v>1115-70-4,10238-21-8</v>
          </cell>
          <cell r="W363"/>
          <cell r="X363"/>
          <cell r="Y363" t="str">
            <v>MG</v>
          </cell>
          <cell r="Z363">
            <v>5782.0445099999997</v>
          </cell>
          <cell r="AA363" t="str">
            <v>66 - ASSOCIAÇÕES DE ANTIDIABÉTICOS SULFONILOURÉIA COM BIGUANIDAS</v>
          </cell>
          <cell r="AB363" t="str">
            <v>N</v>
          </cell>
          <cell r="AC363" t="str">
            <v>N</v>
          </cell>
          <cell r="AD363">
            <v>0</v>
          </cell>
          <cell r="AE363" t="str">
            <v>N</v>
          </cell>
          <cell r="AF363">
            <v>0</v>
          </cell>
          <cell r="AG363">
            <v>8.6999999999999993</v>
          </cell>
          <cell r="AH363">
            <v>9.23</v>
          </cell>
          <cell r="AI363">
            <v>0</v>
          </cell>
          <cell r="AJ363">
            <v>9.34</v>
          </cell>
          <cell r="AK363">
            <v>9.4499999999999993</v>
          </cell>
          <cell r="AL363">
            <v>0</v>
          </cell>
          <cell r="AM363">
            <v>9.23</v>
          </cell>
          <cell r="AN363">
            <v>0</v>
          </cell>
          <cell r="AO363">
            <v>12.03</v>
          </cell>
          <cell r="AP363">
            <v>12.76</v>
          </cell>
          <cell r="AQ363">
            <v>0</v>
          </cell>
          <cell r="AR363">
            <v>12.91</v>
          </cell>
          <cell r="AS363">
            <v>13.06</v>
          </cell>
          <cell r="AT363">
            <v>0</v>
          </cell>
          <cell r="AU363">
            <v>12.76</v>
          </cell>
          <cell r="AV363">
            <v>0</v>
          </cell>
          <cell r="AW363">
            <v>8.82</v>
          </cell>
          <cell r="AX363">
            <v>9.35</v>
          </cell>
          <cell r="AY363">
            <v>9.41</v>
          </cell>
          <cell r="AZ363">
            <v>9.4700000000000006</v>
          </cell>
          <cell r="BA363">
            <v>9.58</v>
          </cell>
          <cell r="BB363">
            <v>9.58</v>
          </cell>
          <cell r="BC363">
            <v>9.35</v>
          </cell>
          <cell r="BD363">
            <v>0</v>
          </cell>
          <cell r="BE363">
            <v>12.19</v>
          </cell>
          <cell r="BF363">
            <v>12.93</v>
          </cell>
          <cell r="BG363">
            <v>13.01</v>
          </cell>
          <cell r="BH363">
            <v>13.09</v>
          </cell>
          <cell r="BI363">
            <v>13.24</v>
          </cell>
          <cell r="BJ363">
            <v>13.41</v>
          </cell>
          <cell r="BK363">
            <v>12.93</v>
          </cell>
        </row>
        <row r="364">
          <cell r="A364">
            <v>7891721026072</v>
          </cell>
          <cell r="B364">
            <v>1008903630061</v>
          </cell>
          <cell r="C364">
            <v>525421302159412</v>
          </cell>
          <cell r="D364" t="str">
            <v>GONAL F</v>
          </cell>
          <cell r="E364" t="str">
            <v>300 UI (22 MCG) SOL INJ SC CT APLICADOR PRÉ-CARREGADO VD INC X 0,5 ML</v>
          </cell>
          <cell r="F364" t="str">
            <v>Solução injetável</v>
          </cell>
          <cell r="G364">
            <v>1</v>
          </cell>
          <cell r="H364" t="str">
            <v>SERINGA</v>
          </cell>
          <cell r="I364">
            <v>0.5</v>
          </cell>
          <cell r="J364" t="str">
            <v>ML</v>
          </cell>
          <cell r="K364" t="str">
            <v>Conformidade</v>
          </cell>
          <cell r="L364">
            <v>3</v>
          </cell>
          <cell r="M364" t="str">
            <v>Tarja Vermelha</v>
          </cell>
          <cell r="N364" t="str">
            <v>Não</v>
          </cell>
          <cell r="O364" t="str">
            <v>Não</v>
          </cell>
          <cell r="P364" t="str">
            <v>Não</v>
          </cell>
          <cell r="Q364" t="str">
            <v>I</v>
          </cell>
          <cell r="R364"/>
          <cell r="S364" t="str">
            <v>Similar</v>
          </cell>
          <cell r="T364" t="str">
            <v>Monitorado</v>
          </cell>
          <cell r="U364"/>
          <cell r="V364" t="str">
            <v>56832-30-5</v>
          </cell>
          <cell r="W364"/>
          <cell r="X364"/>
          <cell r="Y364" t="str">
            <v>UI</v>
          </cell>
          <cell r="Z364">
            <v>512</v>
          </cell>
          <cell r="AA364" t="str">
            <v>270 - GONADOTROFINAS INCLUINDO OUTROS ESTIMULANTES PARA OVULAÇÃO</v>
          </cell>
          <cell r="AB364" t="str">
            <v>N</v>
          </cell>
          <cell r="AC364" t="str">
            <v>N</v>
          </cell>
          <cell r="AD364">
            <v>0</v>
          </cell>
          <cell r="AE364" t="str">
            <v>N</v>
          </cell>
          <cell r="AF364">
            <v>0</v>
          </cell>
          <cell r="AG364">
            <v>643.96</v>
          </cell>
          <cell r="AH364">
            <v>682.75</v>
          </cell>
          <cell r="AI364">
            <v>0</v>
          </cell>
          <cell r="AJ364">
            <v>691.08</v>
          </cell>
          <cell r="AK364">
            <v>699.61</v>
          </cell>
          <cell r="AL364">
            <v>0</v>
          </cell>
          <cell r="AM364">
            <v>682.75</v>
          </cell>
          <cell r="AN364">
            <v>0</v>
          </cell>
          <cell r="AO364">
            <v>890.24</v>
          </cell>
          <cell r="AP364">
            <v>943.86</v>
          </cell>
          <cell r="AQ364">
            <v>0</v>
          </cell>
          <cell r="AR364">
            <v>955.37</v>
          </cell>
          <cell r="AS364">
            <v>967.17</v>
          </cell>
          <cell r="AT364">
            <v>0</v>
          </cell>
          <cell r="AU364">
            <v>943.86</v>
          </cell>
          <cell r="AV364">
            <v>0</v>
          </cell>
          <cell r="AW364">
            <v>643.96</v>
          </cell>
          <cell r="AX364">
            <v>682.75</v>
          </cell>
          <cell r="AY364">
            <v>686.89</v>
          </cell>
          <cell r="AZ364">
            <v>691.08</v>
          </cell>
          <cell r="BA364">
            <v>699.61</v>
          </cell>
          <cell r="BB364">
            <v>699.61</v>
          </cell>
          <cell r="BC364">
            <v>682.75</v>
          </cell>
          <cell r="BD364">
            <v>0</v>
          </cell>
          <cell r="BE364">
            <v>890.24</v>
          </cell>
          <cell r="BF364">
            <v>943.86</v>
          </cell>
          <cell r="BG364">
            <v>949.59</v>
          </cell>
          <cell r="BH364">
            <v>955.38</v>
          </cell>
          <cell r="BI364">
            <v>967.17</v>
          </cell>
          <cell r="BJ364">
            <v>979.27</v>
          </cell>
          <cell r="BK364">
            <v>943.86</v>
          </cell>
        </row>
        <row r="365">
          <cell r="A365">
            <v>7891721027802</v>
          </cell>
          <cell r="B365">
            <v>1008903630096</v>
          </cell>
          <cell r="C365">
            <v>525413010043803</v>
          </cell>
          <cell r="D365" t="str">
            <v>GONAL F</v>
          </cell>
          <cell r="E365" t="str">
            <v>300 UI (22 MCG) SOL INJ SC CT CAN APLIC CARVD TRANS X 0,5 ML    </v>
          </cell>
          <cell r="F365" t="str">
            <v>Solução injetável</v>
          </cell>
          <cell r="G365">
            <v>1</v>
          </cell>
          <cell r="H365"/>
          <cell r="I365">
            <v>0.5</v>
          </cell>
          <cell r="J365" t="str">
            <v>ML</v>
          </cell>
          <cell r="K365" t="str">
            <v>Conformidade</v>
          </cell>
          <cell r="L365">
            <v>3</v>
          </cell>
          <cell r="M365" t="str">
            <v>Tarja Vermelha</v>
          </cell>
          <cell r="N365" t="str">
            <v>Não</v>
          </cell>
          <cell r="O365" t="str">
            <v>Não</v>
          </cell>
          <cell r="P365" t="str">
            <v>Não</v>
          </cell>
          <cell r="Q365" t="str">
            <v>I</v>
          </cell>
          <cell r="R365"/>
          <cell r="S365" t="str">
            <v>Similar</v>
          </cell>
          <cell r="T365" t="str">
            <v>Monitorado</v>
          </cell>
          <cell r="U365"/>
          <cell r="V365" t="str">
            <v>56832-30-5</v>
          </cell>
          <cell r="W365"/>
          <cell r="X365"/>
          <cell r="Y365" t="str">
            <v>UI</v>
          </cell>
          <cell r="Z365">
            <v>512</v>
          </cell>
          <cell r="AA365" t="str">
            <v>270 - GONADOTROFINAS INCLUINDO OUTROS ESTIMULANTES PARA OVULAÇÃO</v>
          </cell>
          <cell r="AB365" t="str">
            <v>N</v>
          </cell>
          <cell r="AC365" t="str">
            <v>N</v>
          </cell>
          <cell r="AD365"/>
          <cell r="AE365" t="str">
            <v>N</v>
          </cell>
          <cell r="AF365">
            <v>0</v>
          </cell>
          <cell r="AG365">
            <v>643.96</v>
          </cell>
          <cell r="AH365">
            <v>682.75</v>
          </cell>
          <cell r="AI365">
            <v>0</v>
          </cell>
          <cell r="AJ365">
            <v>691.08</v>
          </cell>
          <cell r="AK365">
            <v>699.61</v>
          </cell>
          <cell r="AL365">
            <v>0</v>
          </cell>
          <cell r="AM365">
            <v>682.75</v>
          </cell>
          <cell r="AN365">
            <v>0</v>
          </cell>
          <cell r="AO365">
            <v>890.24</v>
          </cell>
          <cell r="AP365">
            <v>943.86</v>
          </cell>
          <cell r="AQ365">
            <v>0</v>
          </cell>
          <cell r="AR365">
            <v>955.37</v>
          </cell>
          <cell r="AS365">
            <v>967.17</v>
          </cell>
          <cell r="AT365">
            <v>0</v>
          </cell>
          <cell r="AU365">
            <v>943.86</v>
          </cell>
          <cell r="AV365">
            <v>0</v>
          </cell>
          <cell r="AW365">
            <v>652.72</v>
          </cell>
          <cell r="AX365">
            <v>692.04</v>
          </cell>
          <cell r="AY365">
            <v>696.23</v>
          </cell>
          <cell r="AZ365">
            <v>700.48</v>
          </cell>
          <cell r="BA365">
            <v>709.13</v>
          </cell>
          <cell r="BB365">
            <v>709.13</v>
          </cell>
          <cell r="BC365">
            <v>692.04</v>
          </cell>
          <cell r="BD365">
            <v>0</v>
          </cell>
          <cell r="BE365">
            <v>902.35</v>
          </cell>
          <cell r="BF365">
            <v>956.7</v>
          </cell>
          <cell r="BG365">
            <v>962.5</v>
          </cell>
          <cell r="BH365">
            <v>968.37</v>
          </cell>
          <cell r="BI365">
            <v>980.33</v>
          </cell>
          <cell r="BJ365">
            <v>992.58</v>
          </cell>
          <cell r="BK365">
            <v>956.7</v>
          </cell>
        </row>
        <row r="366">
          <cell r="A366"/>
          <cell r="B366"/>
          <cell r="C366"/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  <cell r="AM366"/>
          <cell r="AN366"/>
          <cell r="AO366"/>
          <cell r="AP366"/>
          <cell r="AQ366"/>
          <cell r="AR366"/>
          <cell r="AS366"/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/>
          <cell r="BG366"/>
          <cell r="BH366"/>
          <cell r="BI366"/>
          <cell r="BJ366"/>
          <cell r="BK366"/>
        </row>
        <row r="367">
          <cell r="A367"/>
          <cell r="B367"/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  <cell r="AQ367"/>
          <cell r="AR367"/>
          <cell r="AS367"/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/>
          <cell r="BG367"/>
          <cell r="BH367"/>
          <cell r="BI367"/>
          <cell r="BJ367"/>
          <cell r="BK367"/>
        </row>
        <row r="368">
          <cell r="A368"/>
          <cell r="B368"/>
          <cell r="C368"/>
          <cell r="D368"/>
          <cell r="E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  <cell r="AQ368"/>
          <cell r="AR368"/>
          <cell r="AS368"/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/>
          <cell r="BG368"/>
          <cell r="BH368"/>
          <cell r="BI368"/>
          <cell r="BJ368"/>
          <cell r="BK368"/>
        </row>
        <row r="369">
          <cell r="A369">
            <v>7891721027819</v>
          </cell>
          <cell r="B369">
            <v>1008903630101</v>
          </cell>
          <cell r="C369">
            <v>525413010043903</v>
          </cell>
          <cell r="D369" t="str">
            <v>GONAL F</v>
          </cell>
          <cell r="E369" t="str">
            <v>450 UI (33 MCG) SOL INJ SC CT CAN APLIC CAR VD TRANS X 0,75 ML   </v>
          </cell>
          <cell r="F369" t="str">
            <v>Solução injetável</v>
          </cell>
          <cell r="G369">
            <v>1</v>
          </cell>
          <cell r="H369"/>
          <cell r="I369">
            <v>0.75</v>
          </cell>
          <cell r="J369" t="str">
            <v>ML</v>
          </cell>
          <cell r="K369" t="str">
            <v>Conformidade</v>
          </cell>
          <cell r="L369">
            <v>3</v>
          </cell>
          <cell r="M369" t="str">
            <v>Tarja Vermelha</v>
          </cell>
          <cell r="N369" t="str">
            <v>Não</v>
          </cell>
          <cell r="O369" t="str">
            <v>Não</v>
          </cell>
          <cell r="P369" t="str">
            <v>Não</v>
          </cell>
          <cell r="Q369" t="str">
            <v>I</v>
          </cell>
          <cell r="R369"/>
          <cell r="S369" t="str">
            <v>Similar</v>
          </cell>
          <cell r="T369" t="str">
            <v>Monitorado</v>
          </cell>
          <cell r="U369"/>
          <cell r="V369" t="str">
            <v>56832-30-5</v>
          </cell>
          <cell r="W369"/>
          <cell r="X369"/>
          <cell r="Y369" t="str">
            <v>UI</v>
          </cell>
          <cell r="Z369">
            <v>512</v>
          </cell>
          <cell r="AA369" t="str">
            <v>270 - GONADOTROFINAS INCLUINDO OUTROS ESTIMULANTES PARA OVULAÇÃO</v>
          </cell>
          <cell r="AB369" t="str">
            <v>N</v>
          </cell>
          <cell r="AC369" t="str">
            <v>N</v>
          </cell>
          <cell r="AD369"/>
          <cell r="AE369" t="str">
            <v>N</v>
          </cell>
          <cell r="AF369">
            <v>0</v>
          </cell>
          <cell r="AG369">
            <v>965.97</v>
          </cell>
          <cell r="AH369">
            <v>1024.1600000000001</v>
          </cell>
          <cell r="AI369">
            <v>0</v>
          </cell>
          <cell r="AJ369">
            <v>1036.6500000000001</v>
          </cell>
          <cell r="AK369">
            <v>1049.46</v>
          </cell>
          <cell r="AL369">
            <v>0</v>
          </cell>
          <cell r="AM369">
            <v>1024.1600000000001</v>
          </cell>
          <cell r="AN369">
            <v>0</v>
          </cell>
          <cell r="AO369">
            <v>1335.4</v>
          </cell>
          <cell r="AP369">
            <v>1415.84</v>
          </cell>
          <cell r="AQ369">
            <v>0</v>
          </cell>
          <cell r="AR369">
            <v>1433.11</v>
          </cell>
          <cell r="AS369">
            <v>1450.82</v>
          </cell>
          <cell r="AT369">
            <v>0</v>
          </cell>
          <cell r="AU369">
            <v>1415.84</v>
          </cell>
          <cell r="AV369">
            <v>0</v>
          </cell>
          <cell r="AW369">
            <v>979.11</v>
          </cell>
          <cell r="AX369">
            <v>1038.0899999999999</v>
          </cell>
          <cell r="AY369">
            <v>1044.3800000000001</v>
          </cell>
          <cell r="AZ369">
            <v>1050.75</v>
          </cell>
          <cell r="BA369">
            <v>1063.72</v>
          </cell>
          <cell r="BB369">
            <v>1063.72</v>
          </cell>
          <cell r="BC369">
            <v>1038.0899999999999</v>
          </cell>
          <cell r="BD369">
            <v>0</v>
          </cell>
          <cell r="BE369">
            <v>1353.56</v>
          </cell>
          <cell r="BF369">
            <v>1435.1</v>
          </cell>
          <cell r="BG369">
            <v>1443.79</v>
          </cell>
          <cell r="BH369">
            <v>1452.6</v>
          </cell>
          <cell r="BI369">
            <v>1470.53</v>
          </cell>
          <cell r="BJ369">
            <v>1488.92</v>
          </cell>
          <cell r="BK369">
            <v>1435.1</v>
          </cell>
        </row>
        <row r="370">
          <cell r="A370"/>
          <cell r="B370"/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  <cell r="AM370"/>
          <cell r="AN370"/>
          <cell r="AO370"/>
          <cell r="AP370"/>
          <cell r="AQ370"/>
          <cell r="AR370"/>
          <cell r="AS370"/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/>
          <cell r="BG370"/>
          <cell r="BH370"/>
          <cell r="BI370"/>
          <cell r="BJ370"/>
          <cell r="BK370"/>
        </row>
        <row r="371">
          <cell r="A371"/>
          <cell r="B371"/>
          <cell r="C371"/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  <cell r="AS371"/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/>
          <cell r="BG371"/>
          <cell r="BH371"/>
          <cell r="BI371"/>
          <cell r="BJ371"/>
          <cell r="BK371"/>
        </row>
        <row r="372">
          <cell r="A372"/>
          <cell r="B372"/>
          <cell r="C372"/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  <cell r="AM372"/>
          <cell r="AN372"/>
          <cell r="AO372"/>
          <cell r="AP372"/>
          <cell r="AQ372"/>
          <cell r="AR372"/>
          <cell r="AS372"/>
          <cell r="AT372"/>
          <cell r="AU372"/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/>
          <cell r="BG372"/>
          <cell r="BH372"/>
          <cell r="BI372"/>
          <cell r="BJ372"/>
          <cell r="BK372"/>
        </row>
        <row r="373">
          <cell r="A373">
            <v>7891721026089</v>
          </cell>
          <cell r="B373">
            <v>1008903630071</v>
          </cell>
          <cell r="C373">
            <v>525421303155410</v>
          </cell>
          <cell r="D373" t="str">
            <v>GONAL F</v>
          </cell>
          <cell r="E373" t="str">
            <v>450 UI (33 MCG) SOL INJ SC CT APLICADOR PRÉ-CARREGADO VD INC X 0,75 ML</v>
          </cell>
          <cell r="F373" t="str">
            <v>Solução injetável</v>
          </cell>
          <cell r="G373">
            <v>1</v>
          </cell>
          <cell r="H373"/>
          <cell r="I373">
            <v>0.75</v>
          </cell>
          <cell r="J373" t="str">
            <v>ML</v>
          </cell>
          <cell r="K373" t="str">
            <v>Conformidade</v>
          </cell>
          <cell r="L373">
            <v>3</v>
          </cell>
          <cell r="M373" t="str">
            <v>Tarja Vermelha</v>
          </cell>
          <cell r="N373" t="str">
            <v>Não</v>
          </cell>
          <cell r="O373" t="str">
            <v>Não</v>
          </cell>
          <cell r="P373" t="str">
            <v>Não</v>
          </cell>
          <cell r="Q373" t="str">
            <v>I</v>
          </cell>
          <cell r="R373"/>
          <cell r="S373" t="str">
            <v>Similar</v>
          </cell>
          <cell r="T373" t="str">
            <v>Monitorado</v>
          </cell>
          <cell r="U373"/>
          <cell r="V373" t="str">
            <v>56832-30-5</v>
          </cell>
          <cell r="W373"/>
          <cell r="X373"/>
          <cell r="Y373" t="str">
            <v>UI</v>
          </cell>
          <cell r="Z373">
            <v>512</v>
          </cell>
          <cell r="AA373" t="str">
            <v>270 - GONADOTROFINAS INCLUINDO OUTROS ESTIMULANTES PARA OVULAÇÃO</v>
          </cell>
          <cell r="AB373" t="str">
            <v>N</v>
          </cell>
          <cell r="AC373" t="str">
            <v>N</v>
          </cell>
          <cell r="AD373">
            <v>0</v>
          </cell>
          <cell r="AE373" t="str">
            <v>N</v>
          </cell>
          <cell r="AF373">
            <v>0</v>
          </cell>
          <cell r="AG373">
            <v>965.97</v>
          </cell>
          <cell r="AH373">
            <v>1024.1600000000001</v>
          </cell>
          <cell r="AI373">
            <v>0</v>
          </cell>
          <cell r="AJ373">
            <v>1036.6500000000001</v>
          </cell>
          <cell r="AK373">
            <v>1049.46</v>
          </cell>
          <cell r="AL373">
            <v>0</v>
          </cell>
          <cell r="AM373">
            <v>1024.1600000000001</v>
          </cell>
          <cell r="AN373">
            <v>0</v>
          </cell>
          <cell r="AO373">
            <v>1335.4</v>
          </cell>
          <cell r="AP373">
            <v>1415.84</v>
          </cell>
          <cell r="AQ373">
            <v>0</v>
          </cell>
          <cell r="AR373">
            <v>1433.11</v>
          </cell>
          <cell r="AS373">
            <v>1450.82</v>
          </cell>
          <cell r="AT373">
            <v>0</v>
          </cell>
          <cell r="AU373">
            <v>1415.84</v>
          </cell>
          <cell r="AV373">
            <v>0</v>
          </cell>
          <cell r="AW373">
            <v>965.97</v>
          </cell>
          <cell r="AX373">
            <v>1024.1600000000001</v>
          </cell>
          <cell r="AY373">
            <v>1030.3699999999999</v>
          </cell>
          <cell r="AZ373">
            <v>1036.6500000000001</v>
          </cell>
          <cell r="BA373">
            <v>1049.45</v>
          </cell>
          <cell r="BB373">
            <v>1049.45</v>
          </cell>
          <cell r="BC373">
            <v>1024.1600000000001</v>
          </cell>
          <cell r="BD373">
            <v>0</v>
          </cell>
          <cell r="BE373">
            <v>1335.4</v>
          </cell>
          <cell r="BF373">
            <v>1415.84</v>
          </cell>
          <cell r="BG373">
            <v>1424.43</v>
          </cell>
          <cell r="BH373">
            <v>1433.11</v>
          </cell>
          <cell r="BI373">
            <v>1450.8</v>
          </cell>
          <cell r="BJ373">
            <v>1468.94</v>
          </cell>
          <cell r="BK373">
            <v>1415.84</v>
          </cell>
        </row>
        <row r="374">
          <cell r="A374">
            <v>7898106031973</v>
          </cell>
          <cell r="B374">
            <v>1008903630010</v>
          </cell>
          <cell r="C374">
            <v>525421301152414</v>
          </cell>
          <cell r="D374" t="str">
            <v>GONAL F</v>
          </cell>
          <cell r="E374" t="str">
            <v>75 UI PO LIOF INJ CT FA VD INC + SER VD DIL X 1 ML</v>
          </cell>
          <cell r="F374" t="str">
            <v>PÓ LIOFILIZADO INJETÁVEL</v>
          </cell>
          <cell r="G374">
            <v>1</v>
          </cell>
          <cell r="H374" t="str">
            <v>SERINGA</v>
          </cell>
          <cell r="I374"/>
          <cell r="J374"/>
          <cell r="K374" t="str">
            <v>Conformidade</v>
          </cell>
          <cell r="L374">
            <v>3</v>
          </cell>
          <cell r="M374" t="str">
            <v>Tarja Vermelha</v>
          </cell>
          <cell r="N374" t="str">
            <v>Não</v>
          </cell>
          <cell r="O374" t="str">
            <v>Não</v>
          </cell>
          <cell r="P374" t="str">
            <v>Não</v>
          </cell>
          <cell r="Q374" t="str">
            <v>I</v>
          </cell>
          <cell r="R374"/>
          <cell r="S374" t="str">
            <v>Similar</v>
          </cell>
          <cell r="T374" t="str">
            <v>Monitorado</v>
          </cell>
          <cell r="U374"/>
          <cell r="V374" t="str">
            <v>56832-30-5</v>
          </cell>
          <cell r="W374"/>
          <cell r="X374"/>
          <cell r="Y374" t="str">
            <v>UI</v>
          </cell>
          <cell r="Z374">
            <v>512</v>
          </cell>
          <cell r="AA374" t="str">
            <v>270 - GONADOTROFINAS INCLUINDO OUTROS ESTIMULANTES PARA OVULAÇÃO</v>
          </cell>
          <cell r="AB374" t="str">
            <v>N</v>
          </cell>
          <cell r="AC374" t="str">
            <v>N</v>
          </cell>
          <cell r="AD374">
            <v>0</v>
          </cell>
          <cell r="AE374" t="str">
            <v>N</v>
          </cell>
          <cell r="AF374">
            <v>0</v>
          </cell>
          <cell r="AG374">
            <v>160.99</v>
          </cell>
          <cell r="AH374">
            <v>170.68</v>
          </cell>
          <cell r="AI374">
            <v>0</v>
          </cell>
          <cell r="AJ374">
            <v>172.77</v>
          </cell>
          <cell r="AK374">
            <v>174.9</v>
          </cell>
          <cell r="AL374">
            <v>0</v>
          </cell>
          <cell r="AM374">
            <v>170.68</v>
          </cell>
          <cell r="AN374">
            <v>0</v>
          </cell>
          <cell r="AO374">
            <v>222.56</v>
          </cell>
          <cell r="AP374">
            <v>235.96</v>
          </cell>
          <cell r="AQ374">
            <v>0</v>
          </cell>
          <cell r="AR374">
            <v>238.84</v>
          </cell>
          <cell r="AS374">
            <v>241.79</v>
          </cell>
          <cell r="AT374">
            <v>0</v>
          </cell>
          <cell r="AU374">
            <v>235.96</v>
          </cell>
          <cell r="AV374">
            <v>0</v>
          </cell>
          <cell r="AW374">
            <v>163.18</v>
          </cell>
          <cell r="AX374">
            <v>173.01</v>
          </cell>
          <cell r="AY374">
            <v>174.06</v>
          </cell>
          <cell r="AZ374">
            <v>175.12</v>
          </cell>
          <cell r="BA374">
            <v>177.28</v>
          </cell>
          <cell r="BB374">
            <v>177.28</v>
          </cell>
          <cell r="BC374">
            <v>173.01</v>
          </cell>
          <cell r="BD374">
            <v>0</v>
          </cell>
          <cell r="BE374">
            <v>225.59</v>
          </cell>
          <cell r="BF374">
            <v>239.18</v>
          </cell>
          <cell r="BG374">
            <v>240.63</v>
          </cell>
          <cell r="BH374">
            <v>242.09</v>
          </cell>
          <cell r="BI374">
            <v>245.08</v>
          </cell>
          <cell r="BJ374">
            <v>248.15</v>
          </cell>
          <cell r="BK374">
            <v>239.18</v>
          </cell>
        </row>
        <row r="375">
          <cell r="A375"/>
          <cell r="B375"/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  <cell r="AQ375"/>
          <cell r="AR375"/>
          <cell r="AS375"/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/>
          <cell r="BG375"/>
          <cell r="BH375"/>
          <cell r="BI375"/>
          <cell r="BJ375"/>
          <cell r="BK375"/>
        </row>
        <row r="376">
          <cell r="A376"/>
          <cell r="B376"/>
          <cell r="C376"/>
          <cell r="D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  <cell r="AQ376"/>
          <cell r="AR376"/>
          <cell r="AS376"/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/>
          <cell r="BG376"/>
          <cell r="BH376"/>
          <cell r="BI376"/>
          <cell r="BJ376"/>
          <cell r="BK376"/>
        </row>
        <row r="377">
          <cell r="A377"/>
          <cell r="B377"/>
          <cell r="C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  <cell r="AM377"/>
          <cell r="AN377"/>
          <cell r="AO377"/>
          <cell r="AP377"/>
          <cell r="AQ377"/>
          <cell r="AR377"/>
          <cell r="AS377"/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/>
          <cell r="BG377"/>
          <cell r="BH377"/>
          <cell r="BI377"/>
          <cell r="BJ377"/>
          <cell r="BK377"/>
        </row>
        <row r="378">
          <cell r="A378">
            <v>7891721026096</v>
          </cell>
          <cell r="B378">
            <v>1008903630088</v>
          </cell>
          <cell r="C378">
            <v>525421304151419</v>
          </cell>
          <cell r="D378" t="str">
            <v>GONAL F</v>
          </cell>
          <cell r="E378" t="str">
            <v>900 UI (66 MCG) SOL INJ SC CT APLICADOR PRÉ-CARREGADO VD INC X 1,5 ML</v>
          </cell>
          <cell r="F378" t="str">
            <v>Solução injetável</v>
          </cell>
          <cell r="G378">
            <v>1</v>
          </cell>
          <cell r="H378"/>
          <cell r="I378">
            <v>1.5</v>
          </cell>
          <cell r="J378" t="str">
            <v>ML</v>
          </cell>
          <cell r="K378" t="str">
            <v>Conformidade</v>
          </cell>
          <cell r="L378">
            <v>3</v>
          </cell>
          <cell r="M378" t="str">
            <v>Tarja Vermelha</v>
          </cell>
          <cell r="N378" t="str">
            <v>Não</v>
          </cell>
          <cell r="O378" t="str">
            <v>Não</v>
          </cell>
          <cell r="P378" t="str">
            <v>Não</v>
          </cell>
          <cell r="Q378" t="str">
            <v>I</v>
          </cell>
          <cell r="R378"/>
          <cell r="S378" t="str">
            <v>Similar</v>
          </cell>
          <cell r="T378" t="str">
            <v>Monitorado</v>
          </cell>
          <cell r="U378"/>
          <cell r="V378" t="str">
            <v>56832-30-5</v>
          </cell>
          <cell r="W378"/>
          <cell r="X378"/>
          <cell r="Y378" t="str">
            <v>UI</v>
          </cell>
          <cell r="Z378">
            <v>512</v>
          </cell>
          <cell r="AA378" t="str">
            <v>270 - GONADOTROFINAS INCLUINDO OUTROS ESTIMULANTES PARA OVULAÇÃO</v>
          </cell>
          <cell r="AB378" t="str">
            <v>N</v>
          </cell>
          <cell r="AC378" t="str">
            <v>N</v>
          </cell>
          <cell r="AD378">
            <v>0</v>
          </cell>
          <cell r="AE378" t="str">
            <v>N</v>
          </cell>
          <cell r="AF378">
            <v>0</v>
          </cell>
          <cell r="AG378">
            <v>1931.92</v>
          </cell>
          <cell r="AH378">
            <v>2048.31</v>
          </cell>
          <cell r="AI378">
            <v>0</v>
          </cell>
          <cell r="AJ378">
            <v>2073.29</v>
          </cell>
          <cell r="AK378">
            <v>2098.89</v>
          </cell>
          <cell r="AL378">
            <v>0</v>
          </cell>
          <cell r="AM378">
            <v>2048.31</v>
          </cell>
          <cell r="AN378">
            <v>0</v>
          </cell>
          <cell r="AO378">
            <v>2670.77</v>
          </cell>
          <cell r="AP378">
            <v>2831.67</v>
          </cell>
          <cell r="AQ378">
            <v>0</v>
          </cell>
          <cell r="AR378">
            <v>2866.19</v>
          </cell>
          <cell r="AS378">
            <v>2901.59</v>
          </cell>
          <cell r="AT378">
            <v>0</v>
          </cell>
          <cell r="AU378">
            <v>2831.67</v>
          </cell>
          <cell r="AV378">
            <v>0</v>
          </cell>
          <cell r="AW378">
            <v>1931.93</v>
          </cell>
          <cell r="AX378">
            <v>2048.31</v>
          </cell>
          <cell r="AY378">
            <v>2060.7199999999998</v>
          </cell>
          <cell r="AZ378">
            <v>2073.29</v>
          </cell>
          <cell r="BA378">
            <v>2098.9</v>
          </cell>
          <cell r="BB378">
            <v>2098.9</v>
          </cell>
          <cell r="BC378">
            <v>2048.31</v>
          </cell>
          <cell r="BD378">
            <v>0</v>
          </cell>
          <cell r="BE378">
            <v>2670.78</v>
          </cell>
          <cell r="BF378">
            <v>2831.67</v>
          </cell>
          <cell r="BG378">
            <v>2848.82</v>
          </cell>
          <cell r="BH378">
            <v>2866.2</v>
          </cell>
          <cell r="BI378">
            <v>2901.61</v>
          </cell>
          <cell r="BJ378">
            <v>2937.85</v>
          </cell>
          <cell r="BK378">
            <v>2831.67</v>
          </cell>
        </row>
        <row r="379">
          <cell r="A379">
            <v>7891721027826</v>
          </cell>
          <cell r="B379">
            <v>1008903630118</v>
          </cell>
          <cell r="C379">
            <v>525413010044003</v>
          </cell>
          <cell r="D379" t="str">
            <v>GONAL F</v>
          </cell>
          <cell r="E379" t="str">
            <v>900 UI (66 MCG) SOL INJ SC CT CAN APLIC CAR VD TRANS X 1,5 ML </v>
          </cell>
          <cell r="F379" t="str">
            <v>Solução injetável</v>
          </cell>
          <cell r="G379">
            <v>1</v>
          </cell>
          <cell r="H379"/>
          <cell r="I379">
            <v>1.5</v>
          </cell>
          <cell r="J379" t="str">
            <v>ML</v>
          </cell>
          <cell r="K379" t="str">
            <v>Conformidade</v>
          </cell>
          <cell r="L379">
            <v>3</v>
          </cell>
          <cell r="M379" t="str">
            <v>Tarja Vermelha</v>
          </cell>
          <cell r="N379" t="str">
            <v>Não</v>
          </cell>
          <cell r="O379" t="str">
            <v>Não</v>
          </cell>
          <cell r="P379" t="str">
            <v>Não</v>
          </cell>
          <cell r="Q379" t="str">
            <v>I</v>
          </cell>
          <cell r="R379"/>
          <cell r="S379" t="str">
            <v>Similar</v>
          </cell>
          <cell r="T379" t="str">
            <v>Monitorado</v>
          </cell>
          <cell r="U379"/>
          <cell r="V379" t="str">
            <v>56832-30-5</v>
          </cell>
          <cell r="W379"/>
          <cell r="X379"/>
          <cell r="Y379" t="str">
            <v>UI</v>
          </cell>
          <cell r="Z379">
            <v>512</v>
          </cell>
          <cell r="AA379" t="str">
            <v>270 - GONADOTROFINAS INCLUINDO OUTROS ESTIMULANTES PARA OVULAÇÃO</v>
          </cell>
          <cell r="AB379" t="str">
            <v>N</v>
          </cell>
          <cell r="AC379" t="str">
            <v>N</v>
          </cell>
          <cell r="AD379"/>
          <cell r="AE379" t="str">
            <v>N</v>
          </cell>
          <cell r="AF379">
            <v>0</v>
          </cell>
          <cell r="AG379">
            <v>1931.92</v>
          </cell>
          <cell r="AH379">
            <v>2048.31</v>
          </cell>
          <cell r="AI379">
            <v>0</v>
          </cell>
          <cell r="AJ379">
            <v>2073.29</v>
          </cell>
          <cell r="AK379">
            <v>2098.89</v>
          </cell>
          <cell r="AL379">
            <v>0</v>
          </cell>
          <cell r="AM379">
            <v>2048.31</v>
          </cell>
          <cell r="AN379">
            <v>0</v>
          </cell>
          <cell r="AO379">
            <v>2670.77</v>
          </cell>
          <cell r="AP379">
            <v>2831.67</v>
          </cell>
          <cell r="AQ379">
            <v>0</v>
          </cell>
          <cell r="AR379">
            <v>2866.19</v>
          </cell>
          <cell r="AS379">
            <v>2901.59</v>
          </cell>
          <cell r="AT379">
            <v>0</v>
          </cell>
          <cell r="AU379">
            <v>2831.67</v>
          </cell>
          <cell r="AV379">
            <v>0</v>
          </cell>
          <cell r="AW379">
            <v>1958.2</v>
          </cell>
          <cell r="AX379">
            <v>2076.17</v>
          </cell>
          <cell r="AY379">
            <v>2088.75</v>
          </cell>
          <cell r="AZ379">
            <v>2101.4899999999998</v>
          </cell>
          <cell r="BA379">
            <v>2127.44</v>
          </cell>
          <cell r="BB379">
            <v>2127.44</v>
          </cell>
          <cell r="BC379">
            <v>2076.17</v>
          </cell>
          <cell r="BD379">
            <v>0</v>
          </cell>
          <cell r="BE379">
            <v>2707.1</v>
          </cell>
          <cell r="BF379">
            <v>2870.18</v>
          </cell>
          <cell r="BG379">
            <v>2887.57</v>
          </cell>
          <cell r="BH379">
            <v>2905.18</v>
          </cell>
          <cell r="BI379">
            <v>2941.06</v>
          </cell>
          <cell r="BJ379">
            <v>2977.81</v>
          </cell>
          <cell r="BK379">
            <v>2870.18</v>
          </cell>
        </row>
        <row r="380">
          <cell r="A380"/>
          <cell r="B380"/>
          <cell r="C380"/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  <cell r="AM380"/>
          <cell r="AN380"/>
          <cell r="AO380"/>
          <cell r="AP380"/>
          <cell r="AQ380"/>
          <cell r="AR380"/>
          <cell r="AS380"/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/>
          <cell r="BG380"/>
          <cell r="BH380"/>
          <cell r="BI380"/>
          <cell r="BJ380"/>
          <cell r="BK380"/>
        </row>
        <row r="381">
          <cell r="A381"/>
          <cell r="B381"/>
          <cell r="C381"/>
          <cell r="D381"/>
          <cell r="E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  <cell r="AM381"/>
          <cell r="AN381"/>
          <cell r="AO381"/>
          <cell r="AP381"/>
          <cell r="AQ381"/>
          <cell r="AR381"/>
          <cell r="AS381"/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/>
          <cell r="BG381"/>
          <cell r="BH381"/>
          <cell r="BI381"/>
          <cell r="BJ381"/>
          <cell r="BK381"/>
        </row>
        <row r="382">
          <cell r="A382"/>
          <cell r="B382"/>
          <cell r="C382"/>
          <cell r="D382"/>
          <cell r="E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  <cell r="AM382"/>
          <cell r="AN382"/>
          <cell r="AO382"/>
          <cell r="AP382"/>
          <cell r="AQ382"/>
          <cell r="AR382"/>
          <cell r="AS382"/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/>
          <cell r="BG382"/>
          <cell r="BH382"/>
          <cell r="BI382"/>
          <cell r="BJ382"/>
          <cell r="BK382"/>
        </row>
        <row r="383">
          <cell r="A383">
            <v>7891721023729</v>
          </cell>
          <cell r="B383">
            <v>1008903660025</v>
          </cell>
          <cell r="C383">
            <v>525421401114417</v>
          </cell>
          <cell r="D383" t="str">
            <v>JALRA</v>
          </cell>
          <cell r="E383" t="str">
            <v>50 MG COM CT BL AL/AL X 14</v>
          </cell>
          <cell r="F383" t="str">
            <v>Comprimido</v>
          </cell>
          <cell r="G383"/>
          <cell r="H383"/>
          <cell r="I383">
            <v>14</v>
          </cell>
          <cell r="J383"/>
          <cell r="K383" t="str">
            <v>Conformidade</v>
          </cell>
          <cell r="L383">
            <v>3</v>
          </cell>
          <cell r="M383" t="str">
            <v>Tarja Vermelha</v>
          </cell>
          <cell r="N383" t="str">
            <v>Não</v>
          </cell>
          <cell r="O383" t="str">
            <v>Não</v>
          </cell>
          <cell r="P383" t="str">
            <v>Não</v>
          </cell>
          <cell r="Q383" t="str">
            <v>I</v>
          </cell>
          <cell r="R383"/>
          <cell r="S383" t="str">
            <v>Similar</v>
          </cell>
          <cell r="T383" t="str">
            <v>Monitorado</v>
          </cell>
          <cell r="U383"/>
          <cell r="V383" t="str">
            <v>274901-16-5</v>
          </cell>
          <cell r="W383"/>
          <cell r="X383"/>
          <cell r="Y383" t="str">
            <v>MG</v>
          </cell>
          <cell r="Z383">
            <v>9560</v>
          </cell>
          <cell r="AA383" t="str">
            <v>76 - ANTIDIABÉTICOS INIBIDORES DPP-IV PUROS</v>
          </cell>
          <cell r="AB383" t="str">
            <v>N</v>
          </cell>
          <cell r="AC383" t="str">
            <v>N</v>
          </cell>
          <cell r="AD383">
            <v>0</v>
          </cell>
          <cell r="AE383" t="str">
            <v>N</v>
          </cell>
          <cell r="AF383">
            <v>0</v>
          </cell>
          <cell r="AG383">
            <v>34.06</v>
          </cell>
          <cell r="AH383">
            <v>36.11</v>
          </cell>
          <cell r="AI383">
            <v>0</v>
          </cell>
          <cell r="AJ383">
            <v>36.549999999999997</v>
          </cell>
          <cell r="AK383">
            <v>37</v>
          </cell>
          <cell r="AL383">
            <v>0</v>
          </cell>
          <cell r="AM383">
            <v>36.11</v>
          </cell>
          <cell r="AN383">
            <v>0</v>
          </cell>
          <cell r="AO383">
            <v>47.09</v>
          </cell>
          <cell r="AP383">
            <v>49.92</v>
          </cell>
          <cell r="AQ383">
            <v>0</v>
          </cell>
          <cell r="AR383">
            <v>50.53</v>
          </cell>
          <cell r="AS383">
            <v>51.15</v>
          </cell>
          <cell r="AT383">
            <v>0</v>
          </cell>
          <cell r="AU383">
            <v>49.92</v>
          </cell>
          <cell r="AV383">
            <v>0</v>
          </cell>
          <cell r="AW383">
            <v>34.06</v>
          </cell>
          <cell r="AX383">
            <v>36.11</v>
          </cell>
          <cell r="AY383">
            <v>36.33</v>
          </cell>
          <cell r="AZ383">
            <v>36.549999999999997</v>
          </cell>
          <cell r="BA383">
            <v>37</v>
          </cell>
          <cell r="BB383">
            <v>37</v>
          </cell>
          <cell r="BC383">
            <v>36.11</v>
          </cell>
          <cell r="BD383">
            <v>0</v>
          </cell>
          <cell r="BE383">
            <v>47.09</v>
          </cell>
          <cell r="BF383">
            <v>49.92</v>
          </cell>
          <cell r="BG383">
            <v>50.22</v>
          </cell>
          <cell r="BH383">
            <v>50.53</v>
          </cell>
          <cell r="BI383">
            <v>51.15</v>
          </cell>
          <cell r="BJ383">
            <v>51.79</v>
          </cell>
          <cell r="BK383">
            <v>49.92</v>
          </cell>
        </row>
        <row r="384">
          <cell r="A384">
            <v>7891721023736</v>
          </cell>
          <cell r="B384">
            <v>1008903660033</v>
          </cell>
          <cell r="C384">
            <v>525421402110415</v>
          </cell>
          <cell r="D384" t="str">
            <v>JALRA</v>
          </cell>
          <cell r="E384" t="str">
            <v>50 MG COM CT BL AL/AL X 28</v>
          </cell>
          <cell r="F384" t="str">
            <v>Comprimido</v>
          </cell>
          <cell r="G384"/>
          <cell r="H384"/>
          <cell r="I384">
            <v>28</v>
          </cell>
          <cell r="J384"/>
          <cell r="K384" t="str">
            <v>Conformidade</v>
          </cell>
          <cell r="L384">
            <v>3</v>
          </cell>
          <cell r="M384" t="str">
            <v>Tarja Vermelha</v>
          </cell>
          <cell r="N384" t="str">
            <v>Não</v>
          </cell>
          <cell r="O384" t="str">
            <v>Não</v>
          </cell>
          <cell r="P384" t="str">
            <v>Não</v>
          </cell>
          <cell r="Q384" t="str">
            <v>I</v>
          </cell>
          <cell r="R384"/>
          <cell r="S384" t="str">
            <v>Similar</v>
          </cell>
          <cell r="T384" t="str">
            <v>Monitorado</v>
          </cell>
          <cell r="U384"/>
          <cell r="V384" t="str">
            <v>274901-16-5</v>
          </cell>
          <cell r="W384"/>
          <cell r="X384"/>
          <cell r="Y384" t="str">
            <v>MG</v>
          </cell>
          <cell r="Z384">
            <v>9560</v>
          </cell>
          <cell r="AA384" t="str">
            <v>76 - ANTIDIABÉTICOS INIBIDORES DPP-IV PUROS</v>
          </cell>
          <cell r="AB384" t="str">
            <v>N</v>
          </cell>
          <cell r="AC384" t="str">
            <v>N</v>
          </cell>
          <cell r="AD384">
            <v>0</v>
          </cell>
          <cell r="AE384" t="str">
            <v>N</v>
          </cell>
          <cell r="AF384">
            <v>0</v>
          </cell>
          <cell r="AG384">
            <v>68.11</v>
          </cell>
          <cell r="AH384">
            <v>72.209999999999994</v>
          </cell>
          <cell r="AI384">
            <v>0</v>
          </cell>
          <cell r="AJ384">
            <v>73.09</v>
          </cell>
          <cell r="AK384">
            <v>73.989999999999995</v>
          </cell>
          <cell r="AL384">
            <v>0</v>
          </cell>
          <cell r="AM384">
            <v>72.209999999999994</v>
          </cell>
          <cell r="AN384">
            <v>0</v>
          </cell>
          <cell r="AO384">
            <v>94.16</v>
          </cell>
          <cell r="AP384">
            <v>99.83</v>
          </cell>
          <cell r="AQ384">
            <v>0</v>
          </cell>
          <cell r="AR384">
            <v>101.04</v>
          </cell>
          <cell r="AS384">
            <v>102.29</v>
          </cell>
          <cell r="AT384">
            <v>0</v>
          </cell>
          <cell r="AU384">
            <v>99.83</v>
          </cell>
          <cell r="AV384">
            <v>0</v>
          </cell>
          <cell r="AW384">
            <v>68.11</v>
          </cell>
          <cell r="AX384">
            <v>72.209999999999994</v>
          </cell>
          <cell r="AY384">
            <v>72.650000000000006</v>
          </cell>
          <cell r="AZ384">
            <v>73.09</v>
          </cell>
          <cell r="BA384">
            <v>73.989999999999995</v>
          </cell>
          <cell r="BB384">
            <v>73.989999999999995</v>
          </cell>
          <cell r="BC384">
            <v>72.209999999999994</v>
          </cell>
          <cell r="BD384">
            <v>0</v>
          </cell>
          <cell r="BE384">
            <v>94.16</v>
          </cell>
          <cell r="BF384">
            <v>99.83</v>
          </cell>
          <cell r="BG384">
            <v>100.43</v>
          </cell>
          <cell r="BH384">
            <v>101.04</v>
          </cell>
          <cell r="BI384">
            <v>102.29</v>
          </cell>
          <cell r="BJ384">
            <v>103.57</v>
          </cell>
          <cell r="BK384">
            <v>99.83</v>
          </cell>
        </row>
        <row r="385">
          <cell r="A385">
            <v>7891721023743</v>
          </cell>
          <cell r="B385">
            <v>1008903660041</v>
          </cell>
          <cell r="C385">
            <v>525421403117413</v>
          </cell>
          <cell r="D385" t="str">
            <v>JALRA</v>
          </cell>
          <cell r="E385" t="str">
            <v>50 MG COM CT BL AL/AL X 56</v>
          </cell>
          <cell r="F385" t="str">
            <v>Comprimido</v>
          </cell>
          <cell r="G385"/>
          <cell r="H385"/>
          <cell r="I385">
            <v>56</v>
          </cell>
          <cell r="J385"/>
          <cell r="K385" t="str">
            <v>Conformidade</v>
          </cell>
          <cell r="L385">
            <v>3</v>
          </cell>
          <cell r="M385" t="str">
            <v>Tarja Vermelha</v>
          </cell>
          <cell r="N385" t="str">
            <v>Não</v>
          </cell>
          <cell r="O385" t="str">
            <v>Não</v>
          </cell>
          <cell r="P385" t="str">
            <v>Não</v>
          </cell>
          <cell r="Q385" t="str">
            <v>I</v>
          </cell>
          <cell r="R385"/>
          <cell r="S385" t="str">
            <v>Similar</v>
          </cell>
          <cell r="T385" t="str">
            <v>Monitorado</v>
          </cell>
          <cell r="U385"/>
          <cell r="V385" t="str">
            <v>274901-16-5</v>
          </cell>
          <cell r="W385"/>
          <cell r="X385"/>
          <cell r="Y385" t="str">
            <v>MG</v>
          </cell>
          <cell r="Z385">
            <v>9560</v>
          </cell>
          <cell r="AA385" t="str">
            <v>76 - ANTIDIABÉTICOS INIBIDORES DPP-IV PUROS</v>
          </cell>
          <cell r="AB385" t="str">
            <v>N</v>
          </cell>
          <cell r="AC385" t="str">
            <v>N</v>
          </cell>
          <cell r="AD385">
            <v>0</v>
          </cell>
          <cell r="AE385" t="str">
            <v>N</v>
          </cell>
          <cell r="AF385">
            <v>0</v>
          </cell>
          <cell r="AG385">
            <v>136.22</v>
          </cell>
          <cell r="AH385">
            <v>144.43</v>
          </cell>
          <cell r="AI385">
            <v>0</v>
          </cell>
          <cell r="AJ385">
            <v>146.19</v>
          </cell>
          <cell r="AK385">
            <v>148</v>
          </cell>
          <cell r="AL385">
            <v>0</v>
          </cell>
          <cell r="AM385">
            <v>144.43</v>
          </cell>
          <cell r="AN385">
            <v>0</v>
          </cell>
          <cell r="AO385">
            <v>188.32</v>
          </cell>
          <cell r="AP385">
            <v>199.67</v>
          </cell>
          <cell r="AQ385">
            <v>0</v>
          </cell>
          <cell r="AR385">
            <v>202.1</v>
          </cell>
          <cell r="AS385">
            <v>204.6</v>
          </cell>
          <cell r="AT385">
            <v>0</v>
          </cell>
          <cell r="AU385">
            <v>199.67</v>
          </cell>
          <cell r="AV385">
            <v>0</v>
          </cell>
          <cell r="AW385">
            <v>136.22</v>
          </cell>
          <cell r="AX385">
            <v>144.43</v>
          </cell>
          <cell r="AY385">
            <v>145.30000000000001</v>
          </cell>
          <cell r="AZ385">
            <v>146.19</v>
          </cell>
          <cell r="BA385">
            <v>148</v>
          </cell>
          <cell r="BB385">
            <v>148</v>
          </cell>
          <cell r="BC385">
            <v>144.43</v>
          </cell>
          <cell r="BD385">
            <v>0</v>
          </cell>
          <cell r="BE385">
            <v>188.32</v>
          </cell>
          <cell r="BF385">
            <v>199.67</v>
          </cell>
          <cell r="BG385">
            <v>200.87</v>
          </cell>
          <cell r="BH385">
            <v>202.1</v>
          </cell>
          <cell r="BI385">
            <v>204.6</v>
          </cell>
          <cell r="BJ385">
            <v>207.15</v>
          </cell>
          <cell r="BK385">
            <v>199.67</v>
          </cell>
        </row>
        <row r="386">
          <cell r="A386">
            <v>7891721023873</v>
          </cell>
          <cell r="B386">
            <v>1008903740231</v>
          </cell>
          <cell r="C386">
            <v>525412030043304</v>
          </cell>
          <cell r="D386" t="str">
            <v>JALRA MET</v>
          </cell>
          <cell r="E386" t="str">
            <v>50 MG + 1000 MG COM REV CT BL AL/AL X 14</v>
          </cell>
          <cell r="F386" t="str">
            <v>Comprimido revestido</v>
          </cell>
          <cell r="G386"/>
          <cell r="H386"/>
          <cell r="I386">
            <v>14</v>
          </cell>
          <cell r="J386"/>
          <cell r="K386" t="str">
            <v>Conformidade</v>
          </cell>
          <cell r="L386">
            <v>3</v>
          </cell>
          <cell r="M386" t="str">
            <v>Tarja Vermelha</v>
          </cell>
          <cell r="N386" t="str">
            <v>Não</v>
          </cell>
          <cell r="O386" t="str">
            <v>Não</v>
          </cell>
          <cell r="P386" t="str">
            <v>Não</v>
          </cell>
          <cell r="Q386" t="str">
            <v>II</v>
          </cell>
          <cell r="R386"/>
          <cell r="S386" t="str">
            <v>Similar</v>
          </cell>
          <cell r="T386" t="str">
            <v>Monitorado</v>
          </cell>
          <cell r="U386"/>
          <cell r="V386" t="str">
            <v>274901-16-5</v>
          </cell>
          <cell r="W386"/>
          <cell r="X386"/>
          <cell r="Y386" t="str">
            <v>MG</v>
          </cell>
          <cell r="Z386">
            <v>9560</v>
          </cell>
          <cell r="AA386" t="str">
            <v>77 - ASSOCIAÇÕES DE INIBIDORES DPP-IV COM BIGUANIDAS</v>
          </cell>
          <cell r="AB386" t="str">
            <v>N</v>
          </cell>
          <cell r="AC386" t="str">
            <v>N</v>
          </cell>
          <cell r="AD386"/>
          <cell r="AE386" t="str">
            <v>N</v>
          </cell>
          <cell r="AF386">
            <v>0</v>
          </cell>
          <cell r="AG386">
            <v>34.06</v>
          </cell>
          <cell r="AH386">
            <v>36.11</v>
          </cell>
          <cell r="AI386">
            <v>0</v>
          </cell>
          <cell r="AJ386">
            <v>36.549999999999997</v>
          </cell>
          <cell r="AK386">
            <v>37</v>
          </cell>
          <cell r="AL386">
            <v>0</v>
          </cell>
          <cell r="AM386">
            <v>36.11</v>
          </cell>
          <cell r="AN386">
            <v>0</v>
          </cell>
          <cell r="AO386">
            <v>47.09</v>
          </cell>
          <cell r="AP386">
            <v>49.92</v>
          </cell>
          <cell r="AQ386">
            <v>0</v>
          </cell>
          <cell r="AR386">
            <v>50.53</v>
          </cell>
          <cell r="AS386">
            <v>51.15</v>
          </cell>
          <cell r="AT386">
            <v>0</v>
          </cell>
          <cell r="AU386">
            <v>49.92</v>
          </cell>
          <cell r="AV386">
            <v>0</v>
          </cell>
          <cell r="AW386">
            <v>34.06</v>
          </cell>
          <cell r="AX386">
            <v>36.11</v>
          </cell>
          <cell r="AY386">
            <v>36.33</v>
          </cell>
          <cell r="AZ386">
            <v>36.549999999999997</v>
          </cell>
          <cell r="BA386">
            <v>37</v>
          </cell>
          <cell r="BB386">
            <v>37</v>
          </cell>
          <cell r="BC386">
            <v>36.11</v>
          </cell>
          <cell r="BD386">
            <v>0</v>
          </cell>
          <cell r="BE386">
            <v>47.09</v>
          </cell>
          <cell r="BF386">
            <v>49.92</v>
          </cell>
          <cell r="BG386">
            <v>50.22</v>
          </cell>
          <cell r="BH386">
            <v>50.53</v>
          </cell>
          <cell r="BI386">
            <v>51.15</v>
          </cell>
          <cell r="BJ386">
            <v>51.79</v>
          </cell>
          <cell r="BK386">
            <v>49.92</v>
          </cell>
        </row>
        <row r="387">
          <cell r="A387">
            <v>7891721023903</v>
          </cell>
          <cell r="B387">
            <v>1008903740266</v>
          </cell>
          <cell r="C387">
            <v>525412030043404</v>
          </cell>
          <cell r="D387" t="str">
            <v>JALRA MET</v>
          </cell>
          <cell r="E387" t="str">
            <v>50 MG + 1000 MG COM REV CT BL AL/AL X 56</v>
          </cell>
          <cell r="F387" t="str">
            <v>Comprimido revestido</v>
          </cell>
          <cell r="G387"/>
          <cell r="H387"/>
          <cell r="I387">
            <v>56</v>
          </cell>
          <cell r="J387"/>
          <cell r="K387" t="str">
            <v>Conformidade</v>
          </cell>
          <cell r="L387">
            <v>3</v>
          </cell>
          <cell r="M387" t="str">
            <v>Tarja Vermelha</v>
          </cell>
          <cell r="N387" t="str">
            <v>Não</v>
          </cell>
          <cell r="O387" t="str">
            <v>Não</v>
          </cell>
          <cell r="P387" t="str">
            <v>Não</v>
          </cell>
          <cell r="Q387" t="str">
            <v>II</v>
          </cell>
          <cell r="R387"/>
          <cell r="S387" t="str">
            <v>Similar</v>
          </cell>
          <cell r="T387" t="str">
            <v>Monitorado</v>
          </cell>
          <cell r="U387"/>
          <cell r="V387" t="str">
            <v>274901-16-5</v>
          </cell>
          <cell r="W387"/>
          <cell r="X387"/>
          <cell r="Y387" t="str">
            <v>MG</v>
          </cell>
          <cell r="Z387">
            <v>9560</v>
          </cell>
          <cell r="AA387" t="str">
            <v>77 - ASSOCIAÇÕES DE INIBIDORES DPP-IV COM BIGUANIDAS</v>
          </cell>
          <cell r="AB387" t="str">
            <v>N</v>
          </cell>
          <cell r="AC387" t="str">
            <v>N</v>
          </cell>
          <cell r="AD387"/>
          <cell r="AE387" t="str">
            <v>N</v>
          </cell>
          <cell r="AF387">
            <v>0</v>
          </cell>
          <cell r="AG387">
            <v>136.22</v>
          </cell>
          <cell r="AH387">
            <v>144.43</v>
          </cell>
          <cell r="AI387">
            <v>0</v>
          </cell>
          <cell r="AJ387">
            <v>146.19</v>
          </cell>
          <cell r="AK387">
            <v>148</v>
          </cell>
          <cell r="AL387">
            <v>0</v>
          </cell>
          <cell r="AM387">
            <v>144.43</v>
          </cell>
          <cell r="AN387">
            <v>0</v>
          </cell>
          <cell r="AO387">
            <v>188.32</v>
          </cell>
          <cell r="AP387">
            <v>199.67</v>
          </cell>
          <cell r="AQ387">
            <v>0</v>
          </cell>
          <cell r="AR387">
            <v>202.1</v>
          </cell>
          <cell r="AS387">
            <v>204.6</v>
          </cell>
          <cell r="AT387">
            <v>0</v>
          </cell>
          <cell r="AU387">
            <v>199.67</v>
          </cell>
          <cell r="AV387">
            <v>0</v>
          </cell>
          <cell r="AW387">
            <v>136.22</v>
          </cell>
          <cell r="AX387">
            <v>144.43</v>
          </cell>
          <cell r="AY387">
            <v>145.30000000000001</v>
          </cell>
          <cell r="AZ387">
            <v>146.19</v>
          </cell>
          <cell r="BA387">
            <v>148</v>
          </cell>
          <cell r="BB387">
            <v>148</v>
          </cell>
          <cell r="BC387">
            <v>144.43</v>
          </cell>
          <cell r="BD387">
            <v>0</v>
          </cell>
          <cell r="BE387">
            <v>188.32</v>
          </cell>
          <cell r="BF387">
            <v>199.67</v>
          </cell>
          <cell r="BG387">
            <v>200.87</v>
          </cell>
          <cell r="BH387">
            <v>202.1</v>
          </cell>
          <cell r="BI387">
            <v>204.6</v>
          </cell>
          <cell r="BJ387">
            <v>207.15</v>
          </cell>
          <cell r="BK387">
            <v>199.67</v>
          </cell>
        </row>
        <row r="388">
          <cell r="A388">
            <v>7891721023637</v>
          </cell>
          <cell r="B388">
            <v>1008903740037</v>
          </cell>
          <cell r="C388">
            <v>525412030042904</v>
          </cell>
          <cell r="D388" t="str">
            <v>JALRA MET</v>
          </cell>
          <cell r="E388" t="str">
            <v>50 MG + 500 MG COM REV CT BL AL/AL X 14</v>
          </cell>
          <cell r="F388" t="str">
            <v>Comprimido revestido</v>
          </cell>
          <cell r="G388"/>
          <cell r="H388"/>
          <cell r="I388">
            <v>14</v>
          </cell>
          <cell r="J388"/>
          <cell r="K388" t="str">
            <v>Conformidade</v>
          </cell>
          <cell r="L388">
            <v>3</v>
          </cell>
          <cell r="M388" t="str">
            <v>Tarja Vermelha</v>
          </cell>
          <cell r="N388" t="str">
            <v>Não</v>
          </cell>
          <cell r="O388" t="str">
            <v>Não</v>
          </cell>
          <cell r="P388" t="str">
            <v>Não</v>
          </cell>
          <cell r="Q388" t="str">
            <v>II</v>
          </cell>
          <cell r="R388"/>
          <cell r="S388" t="str">
            <v>Similar</v>
          </cell>
          <cell r="T388" t="str">
            <v>Monitorado</v>
          </cell>
          <cell r="U388"/>
          <cell r="V388" t="str">
            <v>274901-16-5</v>
          </cell>
          <cell r="W388"/>
          <cell r="X388"/>
          <cell r="Y388" t="str">
            <v>MG</v>
          </cell>
          <cell r="Z388">
            <v>9560</v>
          </cell>
          <cell r="AA388" t="str">
            <v>77 - ASSOCIAÇÕES DE INIBIDORES DPP-IV COM BIGUANIDAS</v>
          </cell>
          <cell r="AB388" t="str">
            <v>N</v>
          </cell>
          <cell r="AC388" t="str">
            <v>N</v>
          </cell>
          <cell r="AD388"/>
          <cell r="AE388" t="str">
            <v>N</v>
          </cell>
          <cell r="AF388">
            <v>0</v>
          </cell>
          <cell r="AG388">
            <v>34.06</v>
          </cell>
          <cell r="AH388">
            <v>36.11</v>
          </cell>
          <cell r="AI388">
            <v>0</v>
          </cell>
          <cell r="AJ388">
            <v>36.549999999999997</v>
          </cell>
          <cell r="AK388">
            <v>37</v>
          </cell>
          <cell r="AL388">
            <v>0</v>
          </cell>
          <cell r="AM388">
            <v>36.11</v>
          </cell>
          <cell r="AN388">
            <v>0</v>
          </cell>
          <cell r="AO388">
            <v>47.09</v>
          </cell>
          <cell r="AP388">
            <v>49.92</v>
          </cell>
          <cell r="AQ388">
            <v>0</v>
          </cell>
          <cell r="AR388">
            <v>50.53</v>
          </cell>
          <cell r="AS388">
            <v>51.15</v>
          </cell>
          <cell r="AT388">
            <v>0</v>
          </cell>
          <cell r="AU388">
            <v>49.92</v>
          </cell>
          <cell r="AV388">
            <v>0</v>
          </cell>
          <cell r="AW388">
            <v>34.06</v>
          </cell>
          <cell r="AX388">
            <v>36.11</v>
          </cell>
          <cell r="AY388">
            <v>36.33</v>
          </cell>
          <cell r="AZ388">
            <v>36.549999999999997</v>
          </cell>
          <cell r="BA388">
            <v>37</v>
          </cell>
          <cell r="BB388">
            <v>37</v>
          </cell>
          <cell r="BC388">
            <v>36.11</v>
          </cell>
          <cell r="BD388">
            <v>0</v>
          </cell>
          <cell r="BE388">
            <v>47.09</v>
          </cell>
          <cell r="BF388">
            <v>49.92</v>
          </cell>
          <cell r="BG388">
            <v>50.22</v>
          </cell>
          <cell r="BH388">
            <v>50.53</v>
          </cell>
          <cell r="BI388">
            <v>51.15</v>
          </cell>
          <cell r="BJ388">
            <v>51.79</v>
          </cell>
          <cell r="BK388">
            <v>49.92</v>
          </cell>
        </row>
        <row r="389">
          <cell r="A389">
            <v>7891721023668</v>
          </cell>
          <cell r="B389">
            <v>1008903740061</v>
          </cell>
          <cell r="C389">
            <v>525412030043004</v>
          </cell>
          <cell r="D389" t="str">
            <v>JALRA MET</v>
          </cell>
          <cell r="E389" t="str">
            <v>50 MG + 500 MG COM REV CT BL AL/AL X 56</v>
          </cell>
          <cell r="F389" t="str">
            <v>Comprimido revestido</v>
          </cell>
          <cell r="G389"/>
          <cell r="H389"/>
          <cell r="I389">
            <v>56</v>
          </cell>
          <cell r="J389"/>
          <cell r="K389" t="str">
            <v>Conformidade</v>
          </cell>
          <cell r="L389">
            <v>3</v>
          </cell>
          <cell r="M389" t="str">
            <v>Tarja Vermelha</v>
          </cell>
          <cell r="N389" t="str">
            <v>Não</v>
          </cell>
          <cell r="O389" t="str">
            <v>Não</v>
          </cell>
          <cell r="P389" t="str">
            <v>Não</v>
          </cell>
          <cell r="Q389" t="str">
            <v>II</v>
          </cell>
          <cell r="R389"/>
          <cell r="S389" t="str">
            <v>Similar</v>
          </cell>
          <cell r="T389" t="str">
            <v>Monitorado</v>
          </cell>
          <cell r="U389"/>
          <cell r="V389" t="str">
            <v>274901-16-5</v>
          </cell>
          <cell r="W389"/>
          <cell r="X389"/>
          <cell r="Y389" t="str">
            <v>MG</v>
          </cell>
          <cell r="Z389">
            <v>9560</v>
          </cell>
          <cell r="AA389" t="str">
            <v>77 - ASSOCIAÇÕES DE INIBIDORES DPP-IV COM BIGUANIDAS</v>
          </cell>
          <cell r="AB389" t="str">
            <v>N</v>
          </cell>
          <cell r="AC389" t="str">
            <v>N</v>
          </cell>
          <cell r="AD389"/>
          <cell r="AE389" t="str">
            <v>N</v>
          </cell>
          <cell r="AF389">
            <v>0</v>
          </cell>
          <cell r="AG389">
            <v>136.22</v>
          </cell>
          <cell r="AH389">
            <v>144.43</v>
          </cell>
          <cell r="AI389">
            <v>0</v>
          </cell>
          <cell r="AJ389">
            <v>146.19</v>
          </cell>
          <cell r="AK389">
            <v>148</v>
          </cell>
          <cell r="AL389">
            <v>0</v>
          </cell>
          <cell r="AM389">
            <v>144.43</v>
          </cell>
          <cell r="AN389">
            <v>0</v>
          </cell>
          <cell r="AO389">
            <v>188.32</v>
          </cell>
          <cell r="AP389">
            <v>199.67</v>
          </cell>
          <cell r="AQ389">
            <v>0</v>
          </cell>
          <cell r="AR389">
            <v>202.1</v>
          </cell>
          <cell r="AS389">
            <v>204.6</v>
          </cell>
          <cell r="AT389">
            <v>0</v>
          </cell>
          <cell r="AU389">
            <v>199.67</v>
          </cell>
          <cell r="AV389">
            <v>0</v>
          </cell>
          <cell r="AW389">
            <v>136.22</v>
          </cell>
          <cell r="AX389">
            <v>144.43</v>
          </cell>
          <cell r="AY389">
            <v>145.30000000000001</v>
          </cell>
          <cell r="AZ389">
            <v>146.19</v>
          </cell>
          <cell r="BA389">
            <v>148</v>
          </cell>
          <cell r="BB389">
            <v>148</v>
          </cell>
          <cell r="BC389">
            <v>144.43</v>
          </cell>
          <cell r="BD389">
            <v>0</v>
          </cell>
          <cell r="BE389">
            <v>188.32</v>
          </cell>
          <cell r="BF389">
            <v>199.67</v>
          </cell>
          <cell r="BG389">
            <v>200.87</v>
          </cell>
          <cell r="BH389">
            <v>202.1</v>
          </cell>
          <cell r="BI389">
            <v>204.6</v>
          </cell>
          <cell r="BJ389">
            <v>207.15</v>
          </cell>
          <cell r="BK389">
            <v>199.67</v>
          </cell>
        </row>
        <row r="390">
          <cell r="A390"/>
          <cell r="B390"/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  <cell r="AM390"/>
          <cell r="AN390"/>
          <cell r="AO390"/>
          <cell r="AP390"/>
          <cell r="AQ390"/>
          <cell r="AR390"/>
          <cell r="AS390"/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/>
          <cell r="BG390"/>
          <cell r="BH390"/>
          <cell r="BI390"/>
          <cell r="BJ390"/>
          <cell r="BK390"/>
        </row>
        <row r="391">
          <cell r="A391">
            <v>7891721023774</v>
          </cell>
          <cell r="B391">
            <v>1008903740134</v>
          </cell>
          <cell r="C391">
            <v>525412030043104</v>
          </cell>
          <cell r="D391" t="str">
            <v>JALRA MET</v>
          </cell>
          <cell r="E391" t="str">
            <v>50 MG + 850 MG COM REV CT BL AL/AL X 14</v>
          </cell>
          <cell r="F391" t="str">
            <v>Comprimido revestido</v>
          </cell>
          <cell r="G391"/>
          <cell r="H391"/>
          <cell r="I391">
            <v>14</v>
          </cell>
          <cell r="J391"/>
          <cell r="K391" t="str">
            <v>Conformidade</v>
          </cell>
          <cell r="L391">
            <v>3</v>
          </cell>
          <cell r="M391" t="str">
            <v>Tarja Vermelha</v>
          </cell>
          <cell r="N391" t="str">
            <v>Não</v>
          </cell>
          <cell r="O391" t="str">
            <v>Não</v>
          </cell>
          <cell r="P391" t="str">
            <v>Não</v>
          </cell>
          <cell r="Q391" t="str">
            <v>II</v>
          </cell>
          <cell r="R391"/>
          <cell r="S391" t="str">
            <v>Similar</v>
          </cell>
          <cell r="T391" t="str">
            <v>Monitorado</v>
          </cell>
          <cell r="U391"/>
          <cell r="V391" t="str">
            <v>274901-16-5</v>
          </cell>
          <cell r="W391"/>
          <cell r="X391"/>
          <cell r="Y391" t="str">
            <v>MG</v>
          </cell>
          <cell r="Z391">
            <v>9560</v>
          </cell>
          <cell r="AA391" t="str">
            <v>77 - ASSOCIAÇÕES DE INIBIDORES DPP-IV COM BIGUANIDAS</v>
          </cell>
          <cell r="AB391" t="str">
            <v>N</v>
          </cell>
          <cell r="AC391" t="str">
            <v>N</v>
          </cell>
          <cell r="AD391"/>
          <cell r="AE391" t="str">
            <v>N</v>
          </cell>
          <cell r="AF391">
            <v>0</v>
          </cell>
          <cell r="AG391">
            <v>34.06</v>
          </cell>
          <cell r="AH391">
            <v>36.11</v>
          </cell>
          <cell r="AI391">
            <v>0</v>
          </cell>
          <cell r="AJ391">
            <v>36.549999999999997</v>
          </cell>
          <cell r="AK391">
            <v>37</v>
          </cell>
          <cell r="AL391">
            <v>0</v>
          </cell>
          <cell r="AM391">
            <v>36.11</v>
          </cell>
          <cell r="AN391">
            <v>0</v>
          </cell>
          <cell r="AO391">
            <v>47.09</v>
          </cell>
          <cell r="AP391">
            <v>49.92</v>
          </cell>
          <cell r="AQ391">
            <v>0</v>
          </cell>
          <cell r="AR391">
            <v>50.53</v>
          </cell>
          <cell r="AS391">
            <v>51.15</v>
          </cell>
          <cell r="AT391">
            <v>0</v>
          </cell>
          <cell r="AU391">
            <v>49.92</v>
          </cell>
          <cell r="AV391">
            <v>0</v>
          </cell>
          <cell r="AW391">
            <v>34.06</v>
          </cell>
          <cell r="AX391">
            <v>36.11</v>
          </cell>
          <cell r="AY391">
            <v>36.33</v>
          </cell>
          <cell r="AZ391">
            <v>36.549999999999997</v>
          </cell>
          <cell r="BA391">
            <v>37</v>
          </cell>
          <cell r="BB391">
            <v>37</v>
          </cell>
          <cell r="BC391">
            <v>36.11</v>
          </cell>
          <cell r="BD391">
            <v>0</v>
          </cell>
          <cell r="BE391">
            <v>47.09</v>
          </cell>
          <cell r="BF391">
            <v>49.92</v>
          </cell>
          <cell r="BG391">
            <v>50.22</v>
          </cell>
          <cell r="BH391">
            <v>50.53</v>
          </cell>
          <cell r="BI391">
            <v>51.15</v>
          </cell>
          <cell r="BJ391">
            <v>51.79</v>
          </cell>
          <cell r="BK391">
            <v>49.92</v>
          </cell>
        </row>
        <row r="392">
          <cell r="A392">
            <v>7891721023804</v>
          </cell>
          <cell r="B392">
            <v>1008903740169</v>
          </cell>
          <cell r="C392">
            <v>525412030043204</v>
          </cell>
          <cell r="D392" t="str">
            <v>JALRA MET</v>
          </cell>
          <cell r="E392" t="str">
            <v>50 MG + 850 MG COM REV CT BL AL/AL X 56</v>
          </cell>
          <cell r="F392" t="str">
            <v>Comprimido revestido</v>
          </cell>
          <cell r="G392"/>
          <cell r="H392"/>
          <cell r="I392">
            <v>56</v>
          </cell>
          <cell r="J392"/>
          <cell r="K392" t="str">
            <v>Conformidade</v>
          </cell>
          <cell r="L392">
            <v>3</v>
          </cell>
          <cell r="M392" t="str">
            <v>Tarja Vermelha</v>
          </cell>
          <cell r="N392" t="str">
            <v>Não</v>
          </cell>
          <cell r="O392" t="str">
            <v>Não</v>
          </cell>
          <cell r="P392" t="str">
            <v>Não</v>
          </cell>
          <cell r="Q392" t="str">
            <v>II</v>
          </cell>
          <cell r="R392"/>
          <cell r="S392" t="str">
            <v>Similar</v>
          </cell>
          <cell r="T392" t="str">
            <v>Monitorado</v>
          </cell>
          <cell r="U392"/>
          <cell r="V392" t="str">
            <v>274901-16-5</v>
          </cell>
          <cell r="W392"/>
          <cell r="X392"/>
          <cell r="Y392" t="str">
            <v>MG</v>
          </cell>
          <cell r="Z392">
            <v>9560</v>
          </cell>
          <cell r="AA392" t="str">
            <v>77 - ASSOCIAÇÕES DE INIBIDORES DPP-IV COM BIGUANIDAS</v>
          </cell>
          <cell r="AB392" t="str">
            <v>N</v>
          </cell>
          <cell r="AC392" t="str">
            <v>N</v>
          </cell>
          <cell r="AD392"/>
          <cell r="AE392" t="str">
            <v>N</v>
          </cell>
          <cell r="AF392">
            <v>0</v>
          </cell>
          <cell r="AG392">
            <v>136.22</v>
          </cell>
          <cell r="AH392">
            <v>144.43</v>
          </cell>
          <cell r="AI392">
            <v>0</v>
          </cell>
          <cell r="AJ392">
            <v>146.19</v>
          </cell>
          <cell r="AK392">
            <v>148</v>
          </cell>
          <cell r="AL392">
            <v>0</v>
          </cell>
          <cell r="AM392">
            <v>144.43</v>
          </cell>
          <cell r="AN392">
            <v>0</v>
          </cell>
          <cell r="AO392">
            <v>188.32</v>
          </cell>
          <cell r="AP392">
            <v>199.67</v>
          </cell>
          <cell r="AQ392">
            <v>0</v>
          </cell>
          <cell r="AR392">
            <v>202.1</v>
          </cell>
          <cell r="AS392">
            <v>204.6</v>
          </cell>
          <cell r="AT392">
            <v>0</v>
          </cell>
          <cell r="AU392">
            <v>199.67</v>
          </cell>
          <cell r="AV392">
            <v>0</v>
          </cell>
          <cell r="AW392">
            <v>136.22</v>
          </cell>
          <cell r="AX392">
            <v>144.43</v>
          </cell>
          <cell r="AY392">
            <v>145.30000000000001</v>
          </cell>
          <cell r="AZ392">
            <v>146.19</v>
          </cell>
          <cell r="BA392">
            <v>148</v>
          </cell>
          <cell r="BB392">
            <v>148</v>
          </cell>
          <cell r="BC392">
            <v>144.43</v>
          </cell>
          <cell r="BD392">
            <v>0</v>
          </cell>
          <cell r="BE392">
            <v>188.32</v>
          </cell>
          <cell r="BF392">
            <v>199.67</v>
          </cell>
          <cell r="BG392">
            <v>200.87</v>
          </cell>
          <cell r="BH392">
            <v>202.1</v>
          </cell>
          <cell r="BI392">
            <v>204.6</v>
          </cell>
          <cell r="BJ392">
            <v>207.15</v>
          </cell>
          <cell r="BK392">
            <v>199.67</v>
          </cell>
        </row>
        <row r="393">
          <cell r="A393">
            <v>7891721025259</v>
          </cell>
          <cell r="B393">
            <v>1008903640024</v>
          </cell>
          <cell r="C393">
            <v>525414090045302</v>
          </cell>
          <cell r="D393" t="str">
            <v>KUVAN</v>
          </cell>
          <cell r="E393" t="str">
            <v>100 MG COM CT FR PLAS OPC X 120</v>
          </cell>
          <cell r="F393" t="str">
            <v>Comprimido</v>
          </cell>
          <cell r="G393"/>
          <cell r="H393"/>
          <cell r="I393">
            <v>120</v>
          </cell>
          <cell r="J393"/>
          <cell r="K393" t="str">
            <v>Conformidade</v>
          </cell>
          <cell r="L393">
            <v>3</v>
          </cell>
          <cell r="M393" t="str">
            <v>Tarja Vermelha</v>
          </cell>
          <cell r="N393" t="str">
            <v>Não</v>
          </cell>
          <cell r="O393" t="str">
            <v>Não</v>
          </cell>
          <cell r="P393" t="str">
            <v>Não</v>
          </cell>
          <cell r="Q393" t="str">
            <v>N</v>
          </cell>
          <cell r="R393"/>
          <cell r="S393" t="str">
            <v>Similar</v>
          </cell>
          <cell r="T393" t="str">
            <v>Monitorado</v>
          </cell>
          <cell r="U393"/>
          <cell r="V393" t="str">
            <v>62989-33-7</v>
          </cell>
          <cell r="W393"/>
          <cell r="X393"/>
          <cell r="Y393" t="str">
            <v>MG</v>
          </cell>
          <cell r="Z393">
            <v>7891</v>
          </cell>
          <cell r="AA393" t="str">
            <v>115 - OUTROS PRODUTOS PARA O APARELHO DIGESTÓRIO E METABOLISMO</v>
          </cell>
          <cell r="AB393" t="str">
            <v>N</v>
          </cell>
          <cell r="AC393" t="str">
            <v>N</v>
          </cell>
          <cell r="AD393"/>
          <cell r="AE393" t="str">
            <v>N</v>
          </cell>
          <cell r="AF393">
            <v>0</v>
          </cell>
          <cell r="AG393">
            <v>11133.51</v>
          </cell>
          <cell r="AH393">
            <v>11905.62</v>
          </cell>
          <cell r="AI393">
            <v>0</v>
          </cell>
          <cell r="AJ393">
            <v>12073.1</v>
          </cell>
          <cell r="AK393">
            <v>12245.38</v>
          </cell>
          <cell r="AL393">
            <v>0</v>
          </cell>
          <cell r="AM393">
            <v>10364.120000000001</v>
          </cell>
          <cell r="AN393">
            <v>0</v>
          </cell>
          <cell r="AO393">
            <v>14871.97</v>
          </cell>
          <cell r="AP393">
            <v>15869.29</v>
          </cell>
          <cell r="AQ393">
            <v>0</v>
          </cell>
          <cell r="AR393">
            <v>16085.09</v>
          </cell>
          <cell r="AS393">
            <v>16306.91</v>
          </cell>
          <cell r="AT393">
            <v>0</v>
          </cell>
          <cell r="AU393">
            <v>14327.79</v>
          </cell>
          <cell r="AV393">
            <v>0</v>
          </cell>
          <cell r="AW393">
            <v>11133.51</v>
          </cell>
          <cell r="AX393">
            <v>11905.62</v>
          </cell>
          <cell r="AY393">
            <v>11988.77</v>
          </cell>
          <cell r="AZ393">
            <v>12073.1</v>
          </cell>
          <cell r="BA393">
            <v>12245.38</v>
          </cell>
          <cell r="BB393">
            <v>12245.38</v>
          </cell>
          <cell r="BC393">
            <v>10364.129999999999</v>
          </cell>
          <cell r="BD393">
            <v>0</v>
          </cell>
          <cell r="BE393">
            <v>14871.97</v>
          </cell>
          <cell r="BF393">
            <v>15869.29</v>
          </cell>
          <cell r="BG393">
            <v>15976.46</v>
          </cell>
          <cell r="BH393">
            <v>16085.09</v>
          </cell>
          <cell r="BI393">
            <v>16306.91</v>
          </cell>
          <cell r="BJ393">
            <v>16534.95</v>
          </cell>
          <cell r="BK393">
            <v>14327.8</v>
          </cell>
        </row>
        <row r="394">
          <cell r="A394">
            <v>7891721025266</v>
          </cell>
          <cell r="B394">
            <v>1008903640032</v>
          </cell>
          <cell r="C394">
            <v>525414090045402</v>
          </cell>
          <cell r="D394" t="str">
            <v>KUVAN</v>
          </cell>
          <cell r="E394" t="str">
            <v>100 MG COM CT FR PLAS OPC X 240</v>
          </cell>
          <cell r="F394" t="str">
            <v>Comprimido</v>
          </cell>
          <cell r="G394"/>
          <cell r="H394"/>
          <cell r="I394">
            <v>240</v>
          </cell>
          <cell r="J394"/>
          <cell r="K394" t="str">
            <v>Conformidade</v>
          </cell>
          <cell r="L394">
            <v>3</v>
          </cell>
          <cell r="M394" t="str">
            <v>Tarja Vermelha</v>
          </cell>
          <cell r="N394" t="str">
            <v>Não</v>
          </cell>
          <cell r="O394" t="str">
            <v>Não</v>
          </cell>
          <cell r="P394" t="str">
            <v>Não</v>
          </cell>
          <cell r="Q394" t="str">
            <v>N</v>
          </cell>
          <cell r="R394"/>
          <cell r="S394" t="str">
            <v>Similar</v>
          </cell>
          <cell r="T394" t="str">
            <v>Monitorado</v>
          </cell>
          <cell r="U394"/>
          <cell r="V394" t="str">
            <v>62989-33-7</v>
          </cell>
          <cell r="W394"/>
          <cell r="X394"/>
          <cell r="Y394" t="str">
            <v>MG</v>
          </cell>
          <cell r="Z394">
            <v>7891</v>
          </cell>
          <cell r="AA394" t="str">
            <v>115 - OUTROS PRODUTOS PARA O APARELHO DIGESTÓRIO E METABOLISMO</v>
          </cell>
          <cell r="AB394" t="str">
            <v>N</v>
          </cell>
          <cell r="AC394" t="str">
            <v>N</v>
          </cell>
          <cell r="AD394"/>
          <cell r="AE394" t="str">
            <v>N</v>
          </cell>
          <cell r="AF394">
            <v>0</v>
          </cell>
          <cell r="AG394">
            <v>22267</v>
          </cell>
          <cell r="AH394">
            <v>23811.22</v>
          </cell>
          <cell r="AI394">
            <v>0</v>
          </cell>
          <cell r="AJ394">
            <v>24146.18</v>
          </cell>
          <cell r="AK394">
            <v>24490.74</v>
          </cell>
          <cell r="AL394">
            <v>0</v>
          </cell>
          <cell r="AM394">
            <v>20728.240000000002</v>
          </cell>
          <cell r="AN394">
            <v>0</v>
          </cell>
          <cell r="AO394">
            <v>29743.9</v>
          </cell>
          <cell r="AP394">
            <v>31738.560000000001</v>
          </cell>
          <cell r="AQ394">
            <v>0</v>
          </cell>
          <cell r="AR394">
            <v>32170.16</v>
          </cell>
          <cell r="AS394">
            <v>32613.79</v>
          </cell>
          <cell r="AT394">
            <v>0</v>
          </cell>
          <cell r="AU394">
            <v>28655.58</v>
          </cell>
          <cell r="AV394">
            <v>0</v>
          </cell>
          <cell r="AW394">
            <v>22267</v>
          </cell>
          <cell r="AX394">
            <v>23811.22</v>
          </cell>
          <cell r="AY394">
            <v>23977.52</v>
          </cell>
          <cell r="AZ394">
            <v>24146.18</v>
          </cell>
          <cell r="BA394">
            <v>24490.75</v>
          </cell>
          <cell r="BB394">
            <v>24490.75</v>
          </cell>
          <cell r="BC394">
            <v>20728.240000000002</v>
          </cell>
          <cell r="BD394">
            <v>0</v>
          </cell>
          <cell r="BE394">
            <v>29743.9</v>
          </cell>
          <cell r="BF394">
            <v>31738.560000000001</v>
          </cell>
          <cell r="BG394">
            <v>31952.9</v>
          </cell>
          <cell r="BH394">
            <v>32170.16</v>
          </cell>
          <cell r="BI394">
            <v>32613.81</v>
          </cell>
          <cell r="BJ394">
            <v>33069.870000000003</v>
          </cell>
          <cell r="BK394">
            <v>28655.58</v>
          </cell>
        </row>
        <row r="395">
          <cell r="A395">
            <v>7891721025242</v>
          </cell>
          <cell r="B395">
            <v>1008903640016</v>
          </cell>
          <cell r="C395">
            <v>525414090045202</v>
          </cell>
          <cell r="D395" t="str">
            <v>KUVAN</v>
          </cell>
          <cell r="E395" t="str">
            <v>100 MG COM CT FR PLAS OPC X 30</v>
          </cell>
          <cell r="F395" t="str">
            <v>Comprimido</v>
          </cell>
          <cell r="G395"/>
          <cell r="H395"/>
          <cell r="I395">
            <v>30</v>
          </cell>
          <cell r="J395"/>
          <cell r="K395" t="str">
            <v>Conformidade</v>
          </cell>
          <cell r="L395">
            <v>3</v>
          </cell>
          <cell r="M395" t="str">
            <v>Tarja Vermelha</v>
          </cell>
          <cell r="N395" t="str">
            <v>Não</v>
          </cell>
          <cell r="O395" t="str">
            <v>Não</v>
          </cell>
          <cell r="P395" t="str">
            <v>Não</v>
          </cell>
          <cell r="Q395" t="str">
            <v>N</v>
          </cell>
          <cell r="R395"/>
          <cell r="S395" t="str">
            <v>Similar</v>
          </cell>
          <cell r="T395" t="str">
            <v>Monitorado</v>
          </cell>
          <cell r="U395"/>
          <cell r="V395" t="str">
            <v>62989-33-7</v>
          </cell>
          <cell r="W395"/>
          <cell r="X395"/>
          <cell r="Y395" t="str">
            <v>MG</v>
          </cell>
          <cell r="Z395">
            <v>7891</v>
          </cell>
          <cell r="AA395" t="str">
            <v>115 - OUTROS PRODUTOS PARA O APARELHO DIGESTÓRIO E METABOLISMO</v>
          </cell>
          <cell r="AB395" t="str">
            <v>N</v>
          </cell>
          <cell r="AC395" t="str">
            <v>N</v>
          </cell>
          <cell r="AD395"/>
          <cell r="AE395" t="str">
            <v>N</v>
          </cell>
          <cell r="AF395">
            <v>0</v>
          </cell>
          <cell r="AG395">
            <v>2783.38</v>
          </cell>
          <cell r="AH395">
            <v>2976.4</v>
          </cell>
          <cell r="AI395">
            <v>0</v>
          </cell>
          <cell r="AJ395">
            <v>3018.27</v>
          </cell>
          <cell r="AK395">
            <v>3061.34</v>
          </cell>
          <cell r="AL395">
            <v>0</v>
          </cell>
          <cell r="AM395">
            <v>2591.0300000000002</v>
          </cell>
          <cell r="AN395">
            <v>0</v>
          </cell>
          <cell r="AO395">
            <v>3717.99</v>
          </cell>
          <cell r="AP395">
            <v>3967.32</v>
          </cell>
          <cell r="AQ395">
            <v>0</v>
          </cell>
          <cell r="AR395">
            <v>4021.27</v>
          </cell>
          <cell r="AS395">
            <v>4076.72</v>
          </cell>
          <cell r="AT395">
            <v>0</v>
          </cell>
          <cell r="AU395">
            <v>3581.95</v>
          </cell>
          <cell r="AV395">
            <v>0</v>
          </cell>
          <cell r="AW395">
            <v>2783.37</v>
          </cell>
          <cell r="AX395">
            <v>2976.4</v>
          </cell>
          <cell r="AY395">
            <v>2997.19</v>
          </cell>
          <cell r="AZ395">
            <v>3018.27</v>
          </cell>
          <cell r="BA395">
            <v>3061.34</v>
          </cell>
          <cell r="BB395">
            <v>3061.34</v>
          </cell>
          <cell r="BC395">
            <v>2591.0300000000002</v>
          </cell>
          <cell r="BD395">
            <v>0</v>
          </cell>
          <cell r="BE395">
            <v>3717.98</v>
          </cell>
          <cell r="BF395">
            <v>3967.32</v>
          </cell>
          <cell r="BG395">
            <v>3994.11</v>
          </cell>
          <cell r="BH395">
            <v>4021.27</v>
          </cell>
          <cell r="BI395">
            <v>4076.72</v>
          </cell>
          <cell r="BJ395">
            <v>4133.72</v>
          </cell>
          <cell r="BK395">
            <v>3581.95</v>
          </cell>
        </row>
        <row r="396">
          <cell r="A396">
            <v>7891721019999</v>
          </cell>
          <cell r="B396">
            <v>1008903550130</v>
          </cell>
          <cell r="C396">
            <v>525420602116117</v>
          </cell>
          <cell r="D396" t="str">
            <v>LEVOTIROXINA SÓDICA</v>
          </cell>
          <cell r="E396" t="str">
            <v>100 MCG COM BL AL/ AL X 30</v>
          </cell>
          <cell r="F396" t="str">
            <v>Comprimido</v>
          </cell>
          <cell r="G396"/>
          <cell r="H396"/>
          <cell r="I396">
            <v>30</v>
          </cell>
          <cell r="J396"/>
          <cell r="K396" t="str">
            <v>Conformidade</v>
          </cell>
          <cell r="L396">
            <v>3</v>
          </cell>
          <cell r="M396" t="str">
            <v>Tarja Vermelha</v>
          </cell>
          <cell r="N396" t="str">
            <v>Não</v>
          </cell>
          <cell r="O396" t="str">
            <v>Não</v>
          </cell>
          <cell r="P396" t="str">
            <v>Sim</v>
          </cell>
          <cell r="Q396" t="str">
            <v>I</v>
          </cell>
          <cell r="R396"/>
          <cell r="S396" t="str">
            <v>Genérico</v>
          </cell>
          <cell r="T396" t="str">
            <v>Monitorado</v>
          </cell>
          <cell r="U396"/>
          <cell r="V396" t="str">
            <v>55-03-8</v>
          </cell>
          <cell r="W396"/>
          <cell r="X396"/>
          <cell r="Y396" t="str">
            <v>MCG</v>
          </cell>
          <cell r="Z396">
            <v>5295</v>
          </cell>
          <cell r="AA396" t="str">
            <v>297 - PREPARAÇÕES PARA TIREOIDE</v>
          </cell>
          <cell r="AB396" t="str">
            <v>N</v>
          </cell>
          <cell r="AC396" t="str">
            <v>N</v>
          </cell>
          <cell r="AD396">
            <v>0</v>
          </cell>
          <cell r="AE396" t="str">
            <v>N</v>
          </cell>
          <cell r="AF396">
            <v>0</v>
          </cell>
          <cell r="AG396">
            <v>5.08</v>
          </cell>
          <cell r="AH396">
            <v>5.39</v>
          </cell>
          <cell r="AI396">
            <v>0</v>
          </cell>
          <cell r="AJ396">
            <v>5.46</v>
          </cell>
          <cell r="AK396">
            <v>5.52</v>
          </cell>
          <cell r="AL396">
            <v>0</v>
          </cell>
          <cell r="AM396">
            <v>5.39</v>
          </cell>
          <cell r="AN396">
            <v>0</v>
          </cell>
          <cell r="AO396">
            <v>7.02</v>
          </cell>
          <cell r="AP396">
            <v>7.45</v>
          </cell>
          <cell r="AQ396">
            <v>0</v>
          </cell>
          <cell r="AR396">
            <v>7.54</v>
          </cell>
          <cell r="AS396">
            <v>7.63</v>
          </cell>
          <cell r="AT396">
            <v>0</v>
          </cell>
          <cell r="AU396">
            <v>7.45</v>
          </cell>
          <cell r="AV396">
            <v>0</v>
          </cell>
          <cell r="AW396">
            <v>5.16</v>
          </cell>
          <cell r="AX396">
            <v>5.47</v>
          </cell>
          <cell r="AY396">
            <v>5.5</v>
          </cell>
          <cell r="AZ396">
            <v>5.53</v>
          </cell>
          <cell r="BA396">
            <v>5.6</v>
          </cell>
          <cell r="BB396">
            <v>5.6</v>
          </cell>
          <cell r="BC396">
            <v>5.47</v>
          </cell>
          <cell r="BD396">
            <v>0</v>
          </cell>
          <cell r="BE396">
            <v>7.13</v>
          </cell>
          <cell r="BF396">
            <v>7.56</v>
          </cell>
          <cell r="BG396">
            <v>7.6</v>
          </cell>
          <cell r="BH396">
            <v>7.65</v>
          </cell>
          <cell r="BI396">
            <v>7.74</v>
          </cell>
          <cell r="BJ396">
            <v>7.84</v>
          </cell>
          <cell r="BK396">
            <v>7.56</v>
          </cell>
        </row>
        <row r="397">
          <cell r="A397"/>
          <cell r="B397"/>
          <cell r="C397"/>
          <cell r="D397"/>
          <cell r="E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  <cell r="AM397"/>
          <cell r="AN397"/>
          <cell r="AO397"/>
          <cell r="AP397"/>
          <cell r="AQ397"/>
          <cell r="AR397"/>
          <cell r="AS397"/>
          <cell r="AT397"/>
          <cell r="AU397"/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/>
          <cell r="BG397"/>
          <cell r="BH397"/>
          <cell r="BI397"/>
          <cell r="BJ397"/>
          <cell r="BK397"/>
        </row>
        <row r="398">
          <cell r="A398"/>
          <cell r="B398"/>
          <cell r="C398"/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  <cell r="AM398"/>
          <cell r="AN398"/>
          <cell r="AO398"/>
          <cell r="AP398"/>
          <cell r="AQ398"/>
          <cell r="AR398"/>
          <cell r="AS398"/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/>
          <cell r="BG398"/>
          <cell r="BH398"/>
          <cell r="BI398"/>
          <cell r="BJ398"/>
          <cell r="BK398"/>
        </row>
        <row r="399">
          <cell r="A399">
            <v>7891721020049</v>
          </cell>
          <cell r="B399">
            <v>1008903550033</v>
          </cell>
          <cell r="C399">
            <v>525420608114116</v>
          </cell>
          <cell r="D399" t="str">
            <v>LEVOTIROXINA SÓDICA</v>
          </cell>
          <cell r="E399" t="str">
            <v>112 MCG COM BL AL/ AL X 30</v>
          </cell>
          <cell r="F399" t="str">
            <v>Comprimido</v>
          </cell>
          <cell r="G399"/>
          <cell r="H399"/>
          <cell r="I399">
            <v>30</v>
          </cell>
          <cell r="J399"/>
          <cell r="K399" t="str">
            <v>Conformidade</v>
          </cell>
          <cell r="L399">
            <v>3</v>
          </cell>
          <cell r="M399" t="str">
            <v>Tarja Vermelha</v>
          </cell>
          <cell r="N399" t="str">
            <v>Não</v>
          </cell>
          <cell r="O399" t="str">
            <v>Não</v>
          </cell>
          <cell r="P399" t="str">
            <v>Não</v>
          </cell>
          <cell r="Q399" t="str">
            <v>I</v>
          </cell>
          <cell r="R399"/>
          <cell r="S399" t="str">
            <v>Genérico</v>
          </cell>
          <cell r="T399" t="str">
            <v>Monitorado</v>
          </cell>
          <cell r="U399"/>
          <cell r="V399" t="str">
            <v>55-03-8</v>
          </cell>
          <cell r="W399"/>
          <cell r="X399"/>
          <cell r="Y399" t="str">
            <v>MCG</v>
          </cell>
          <cell r="Z399">
            <v>5295</v>
          </cell>
          <cell r="AA399" t="str">
            <v>297 - PREPARAÇÕES PARA TIREOIDE</v>
          </cell>
          <cell r="AB399" t="str">
            <v>N</v>
          </cell>
          <cell r="AC399" t="str">
            <v>N</v>
          </cell>
          <cell r="AD399">
            <v>0</v>
          </cell>
          <cell r="AE399" t="str">
            <v>N</v>
          </cell>
          <cell r="AF399">
            <v>0</v>
          </cell>
          <cell r="AG399">
            <v>10.01</v>
          </cell>
          <cell r="AH399">
            <v>10.61</v>
          </cell>
          <cell r="AI399">
            <v>0</v>
          </cell>
          <cell r="AJ399">
            <v>10.74</v>
          </cell>
          <cell r="AK399">
            <v>10.88</v>
          </cell>
          <cell r="AL399">
            <v>0</v>
          </cell>
          <cell r="AM399">
            <v>10.61</v>
          </cell>
          <cell r="AN399">
            <v>0</v>
          </cell>
          <cell r="AO399">
            <v>13.84</v>
          </cell>
          <cell r="AP399">
            <v>14.67</v>
          </cell>
          <cell r="AQ399">
            <v>0</v>
          </cell>
          <cell r="AR399">
            <v>14.85</v>
          </cell>
          <cell r="AS399">
            <v>15.04</v>
          </cell>
          <cell r="AT399">
            <v>0</v>
          </cell>
          <cell r="AU399">
            <v>14.67</v>
          </cell>
          <cell r="AV399">
            <v>0</v>
          </cell>
          <cell r="AW399">
            <v>10.14</v>
          </cell>
          <cell r="AX399">
            <v>10.75</v>
          </cell>
          <cell r="AY399">
            <v>10.82</v>
          </cell>
          <cell r="AZ399">
            <v>10.89</v>
          </cell>
          <cell r="BA399">
            <v>11.02</v>
          </cell>
          <cell r="BB399">
            <v>11.02</v>
          </cell>
          <cell r="BC399">
            <v>10.75</v>
          </cell>
          <cell r="BD399">
            <v>0</v>
          </cell>
          <cell r="BE399">
            <v>14.02</v>
          </cell>
          <cell r="BF399">
            <v>14.86</v>
          </cell>
          <cell r="BG399">
            <v>14.96</v>
          </cell>
          <cell r="BH399">
            <v>15.05</v>
          </cell>
          <cell r="BI399">
            <v>15.23</v>
          </cell>
          <cell r="BJ399">
            <v>15.43</v>
          </cell>
          <cell r="BK399">
            <v>14.86</v>
          </cell>
        </row>
        <row r="400">
          <cell r="A400"/>
          <cell r="B400"/>
          <cell r="C400"/>
          <cell r="D400"/>
          <cell r="E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  <cell r="AM400"/>
          <cell r="AN400"/>
          <cell r="AO400"/>
          <cell r="AP400"/>
          <cell r="AQ400"/>
          <cell r="AR400"/>
          <cell r="AS400"/>
          <cell r="AT400"/>
          <cell r="AU400"/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/>
          <cell r="BG400"/>
          <cell r="BH400"/>
          <cell r="BI400"/>
          <cell r="BJ400"/>
          <cell r="BK400"/>
        </row>
        <row r="401">
          <cell r="A401">
            <v>7891721020094</v>
          </cell>
          <cell r="B401">
            <v>1008903550319</v>
          </cell>
          <cell r="C401">
            <v>525420603112115</v>
          </cell>
          <cell r="D401" t="str">
            <v>LEVOTIROXINA SÓDICA</v>
          </cell>
          <cell r="E401" t="str">
            <v>125 MCG COM BL AL/ AL X 30</v>
          </cell>
          <cell r="F401" t="str">
            <v>Comprimido</v>
          </cell>
          <cell r="G401"/>
          <cell r="H401"/>
          <cell r="I401">
            <v>30</v>
          </cell>
          <cell r="J401"/>
          <cell r="K401" t="str">
            <v>Conformidade</v>
          </cell>
          <cell r="L401">
            <v>3</v>
          </cell>
          <cell r="M401" t="str">
            <v>Tarja Vermelha</v>
          </cell>
          <cell r="N401" t="str">
            <v>Não</v>
          </cell>
          <cell r="O401" t="str">
            <v>Não</v>
          </cell>
          <cell r="P401" t="str">
            <v>Não</v>
          </cell>
          <cell r="Q401" t="str">
            <v>I</v>
          </cell>
          <cell r="R401"/>
          <cell r="S401" t="str">
            <v>Genérico</v>
          </cell>
          <cell r="T401" t="str">
            <v>Monitorado</v>
          </cell>
          <cell r="U401"/>
          <cell r="V401" t="str">
            <v>55-03-8</v>
          </cell>
          <cell r="W401"/>
          <cell r="X401"/>
          <cell r="Y401" t="str">
            <v>MCG</v>
          </cell>
          <cell r="Z401">
            <v>5295</v>
          </cell>
          <cell r="AA401" t="str">
            <v>297 - PREPARAÇÕES PARA TIREOIDE</v>
          </cell>
          <cell r="AB401" t="str">
            <v>N</v>
          </cell>
          <cell r="AC401" t="str">
            <v>N</v>
          </cell>
          <cell r="AD401">
            <v>0</v>
          </cell>
          <cell r="AE401" t="str">
            <v>N</v>
          </cell>
          <cell r="AF401">
            <v>0</v>
          </cell>
          <cell r="AG401">
            <v>7.46</v>
          </cell>
          <cell r="AH401">
            <v>7.91</v>
          </cell>
          <cell r="AI401">
            <v>0</v>
          </cell>
          <cell r="AJ401">
            <v>8.01</v>
          </cell>
          <cell r="AK401">
            <v>8.11</v>
          </cell>
          <cell r="AL401">
            <v>0</v>
          </cell>
          <cell r="AM401">
            <v>7.91</v>
          </cell>
          <cell r="AN401">
            <v>0</v>
          </cell>
          <cell r="AO401">
            <v>10.31</v>
          </cell>
          <cell r="AP401">
            <v>10.94</v>
          </cell>
          <cell r="AQ401">
            <v>0</v>
          </cell>
          <cell r="AR401">
            <v>11.07</v>
          </cell>
          <cell r="AS401">
            <v>11.21</v>
          </cell>
          <cell r="AT401">
            <v>0</v>
          </cell>
          <cell r="AU401">
            <v>10.94</v>
          </cell>
          <cell r="AV401">
            <v>0</v>
          </cell>
          <cell r="AW401">
            <v>7.56</v>
          </cell>
          <cell r="AX401">
            <v>8.02</v>
          </cell>
          <cell r="AY401">
            <v>8.07</v>
          </cell>
          <cell r="AZ401">
            <v>8.1199999999999992</v>
          </cell>
          <cell r="BA401">
            <v>8.2200000000000006</v>
          </cell>
          <cell r="BB401">
            <v>8.2200000000000006</v>
          </cell>
          <cell r="BC401">
            <v>8.02</v>
          </cell>
          <cell r="BD401">
            <v>0</v>
          </cell>
          <cell r="BE401">
            <v>10.45</v>
          </cell>
          <cell r="BF401">
            <v>11.09</v>
          </cell>
          <cell r="BG401">
            <v>11.16</v>
          </cell>
          <cell r="BH401">
            <v>11.22</v>
          </cell>
          <cell r="BI401">
            <v>11.36</v>
          </cell>
          <cell r="BJ401">
            <v>11.5</v>
          </cell>
          <cell r="BK401">
            <v>11.09</v>
          </cell>
        </row>
        <row r="402">
          <cell r="A402"/>
          <cell r="B402"/>
          <cell r="C402"/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  <cell r="AQ402"/>
          <cell r="AR402"/>
          <cell r="AS402"/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/>
          <cell r="BG402"/>
          <cell r="BH402"/>
          <cell r="BI402"/>
          <cell r="BJ402"/>
          <cell r="BK402"/>
        </row>
        <row r="403">
          <cell r="A403">
            <v>7891721020148</v>
          </cell>
          <cell r="B403">
            <v>1008903550191</v>
          </cell>
          <cell r="C403">
            <v>525420604119113</v>
          </cell>
          <cell r="D403" t="str">
            <v>LEVOTIROXINA SÓDICA</v>
          </cell>
          <cell r="E403" t="str">
            <v>150 MCG COM BL AL/ AL X 30</v>
          </cell>
          <cell r="F403" t="str">
            <v>Comprimido</v>
          </cell>
          <cell r="G403"/>
          <cell r="H403"/>
          <cell r="I403">
            <v>30</v>
          </cell>
          <cell r="J403"/>
          <cell r="K403" t="str">
            <v>Conformidade</v>
          </cell>
          <cell r="L403">
            <v>3</v>
          </cell>
          <cell r="M403" t="str">
            <v>Tarja Vermelha</v>
          </cell>
          <cell r="N403" t="str">
            <v>Não</v>
          </cell>
          <cell r="O403" t="str">
            <v>Não</v>
          </cell>
          <cell r="P403" t="str">
            <v>Sim</v>
          </cell>
          <cell r="Q403" t="str">
            <v>I</v>
          </cell>
          <cell r="R403"/>
          <cell r="S403" t="str">
            <v>Genérico</v>
          </cell>
          <cell r="T403" t="str">
            <v>Monitorado</v>
          </cell>
          <cell r="U403"/>
          <cell r="V403" t="str">
            <v>55-03-8</v>
          </cell>
          <cell r="W403"/>
          <cell r="X403"/>
          <cell r="Y403" t="str">
            <v>MCG</v>
          </cell>
          <cell r="Z403">
            <v>5295</v>
          </cell>
          <cell r="AA403" t="str">
            <v>297 - PREPARAÇÕES PARA TIREOIDE</v>
          </cell>
          <cell r="AB403" t="str">
            <v>N</v>
          </cell>
          <cell r="AC403" t="str">
            <v>N</v>
          </cell>
          <cell r="AD403">
            <v>0</v>
          </cell>
          <cell r="AE403" t="str">
            <v>N</v>
          </cell>
          <cell r="AF403">
            <v>0</v>
          </cell>
          <cell r="AG403">
            <v>8.0399999999999991</v>
          </cell>
          <cell r="AH403">
            <v>8.5299999999999994</v>
          </cell>
          <cell r="AI403">
            <v>0</v>
          </cell>
          <cell r="AJ403">
            <v>8.6300000000000008</v>
          </cell>
          <cell r="AK403">
            <v>8.74</v>
          </cell>
          <cell r="AL403">
            <v>0</v>
          </cell>
          <cell r="AM403">
            <v>8.5299999999999994</v>
          </cell>
          <cell r="AN403">
            <v>0</v>
          </cell>
          <cell r="AO403">
            <v>11.11</v>
          </cell>
          <cell r="AP403">
            <v>11.79</v>
          </cell>
          <cell r="AQ403">
            <v>0</v>
          </cell>
          <cell r="AR403">
            <v>11.93</v>
          </cell>
          <cell r="AS403">
            <v>12.08</v>
          </cell>
          <cell r="AT403">
            <v>0</v>
          </cell>
          <cell r="AU403">
            <v>11.79</v>
          </cell>
          <cell r="AV403">
            <v>0</v>
          </cell>
          <cell r="AW403">
            <v>8.15</v>
          </cell>
          <cell r="AX403">
            <v>8.64</v>
          </cell>
          <cell r="AY403">
            <v>8.69</v>
          </cell>
          <cell r="AZ403">
            <v>8.75</v>
          </cell>
          <cell r="BA403">
            <v>8.86</v>
          </cell>
          <cell r="BB403">
            <v>8.86</v>
          </cell>
          <cell r="BC403">
            <v>8.64</v>
          </cell>
          <cell r="BD403">
            <v>0</v>
          </cell>
          <cell r="BE403">
            <v>11.27</v>
          </cell>
          <cell r="BF403">
            <v>11.94</v>
          </cell>
          <cell r="BG403">
            <v>12.01</v>
          </cell>
          <cell r="BH403">
            <v>12.09</v>
          </cell>
          <cell r="BI403">
            <v>12.25</v>
          </cell>
          <cell r="BJ403">
            <v>12.4</v>
          </cell>
          <cell r="BK403">
            <v>11.94</v>
          </cell>
        </row>
        <row r="404">
          <cell r="A404"/>
          <cell r="B404"/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  <cell r="AQ404"/>
          <cell r="AR404"/>
          <cell r="AS404"/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/>
          <cell r="BG404"/>
          <cell r="BH404"/>
          <cell r="BI404"/>
          <cell r="BJ404"/>
          <cell r="BK404"/>
        </row>
        <row r="405">
          <cell r="A405">
            <v>7891721020193</v>
          </cell>
          <cell r="B405">
            <v>1008903550361</v>
          </cell>
          <cell r="C405">
            <v>525420605115111</v>
          </cell>
          <cell r="D405" t="str">
            <v>LEVOTIROXINA SÓDICA</v>
          </cell>
          <cell r="E405" t="str">
            <v>175 MCG COM BL AL/ AL X 30</v>
          </cell>
          <cell r="F405" t="str">
            <v>Comprimido</v>
          </cell>
          <cell r="G405"/>
          <cell r="H405"/>
          <cell r="I405">
            <v>30</v>
          </cell>
          <cell r="J405"/>
          <cell r="K405" t="str">
            <v>Conformidade</v>
          </cell>
          <cell r="L405">
            <v>3</v>
          </cell>
          <cell r="M405" t="str">
            <v>Tarja Vermelha</v>
          </cell>
          <cell r="N405" t="str">
            <v>Não</v>
          </cell>
          <cell r="O405" t="str">
            <v>Não</v>
          </cell>
          <cell r="P405" t="str">
            <v>Não</v>
          </cell>
          <cell r="Q405" t="str">
            <v>I</v>
          </cell>
          <cell r="R405"/>
          <cell r="S405" t="str">
            <v>Genérico</v>
          </cell>
          <cell r="T405" t="str">
            <v>Monitorado</v>
          </cell>
          <cell r="U405"/>
          <cell r="V405" t="str">
            <v>55-03-8</v>
          </cell>
          <cell r="W405"/>
          <cell r="X405"/>
          <cell r="Y405" t="str">
            <v>MCG</v>
          </cell>
          <cell r="Z405">
            <v>5295</v>
          </cell>
          <cell r="AA405" t="str">
            <v>297 - PREPARAÇÕES PARA TIREOIDE</v>
          </cell>
          <cell r="AB405" t="str">
            <v>N</v>
          </cell>
          <cell r="AC405" t="str">
            <v>N</v>
          </cell>
          <cell r="AD405">
            <v>0</v>
          </cell>
          <cell r="AE405" t="str">
            <v>N</v>
          </cell>
          <cell r="AF405">
            <v>0</v>
          </cell>
          <cell r="AG405">
            <v>10.15</v>
          </cell>
          <cell r="AH405">
            <v>10.76</v>
          </cell>
          <cell r="AI405">
            <v>0</v>
          </cell>
          <cell r="AJ405">
            <v>10.89</v>
          </cell>
          <cell r="AK405">
            <v>11.02</v>
          </cell>
          <cell r="AL405">
            <v>0</v>
          </cell>
          <cell r="AM405">
            <v>10.76</v>
          </cell>
          <cell r="AN405">
            <v>0</v>
          </cell>
          <cell r="AO405">
            <v>14.03</v>
          </cell>
          <cell r="AP405">
            <v>14.88</v>
          </cell>
          <cell r="AQ405">
            <v>0</v>
          </cell>
          <cell r="AR405">
            <v>15.05</v>
          </cell>
          <cell r="AS405">
            <v>15.23</v>
          </cell>
          <cell r="AT405">
            <v>0</v>
          </cell>
          <cell r="AU405">
            <v>14.88</v>
          </cell>
          <cell r="AV405">
            <v>0</v>
          </cell>
          <cell r="AW405">
            <v>10.28</v>
          </cell>
          <cell r="AX405">
            <v>10.9</v>
          </cell>
          <cell r="AY405">
            <v>10.97</v>
          </cell>
          <cell r="AZ405">
            <v>11.04</v>
          </cell>
          <cell r="BA405">
            <v>11.17</v>
          </cell>
          <cell r="BB405">
            <v>11.17</v>
          </cell>
          <cell r="BC405">
            <v>10.9</v>
          </cell>
          <cell r="BD405">
            <v>0</v>
          </cell>
          <cell r="BE405">
            <v>14.21</v>
          </cell>
          <cell r="BF405">
            <v>15.07</v>
          </cell>
          <cell r="BG405">
            <v>15.17</v>
          </cell>
          <cell r="BH405">
            <v>15.26</v>
          </cell>
          <cell r="BI405">
            <v>15.44</v>
          </cell>
          <cell r="BJ405">
            <v>15.64</v>
          </cell>
          <cell r="BK405">
            <v>15.07</v>
          </cell>
        </row>
        <row r="406">
          <cell r="A406"/>
          <cell r="B406"/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  <cell r="AQ406"/>
          <cell r="AR406"/>
          <cell r="AS406"/>
          <cell r="AT406"/>
          <cell r="AU406"/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/>
          <cell r="BG406"/>
          <cell r="BH406"/>
          <cell r="BI406"/>
          <cell r="BJ406"/>
          <cell r="BK406"/>
        </row>
        <row r="407">
          <cell r="A407">
            <v>7891721020247</v>
          </cell>
          <cell r="B407">
            <v>1008903550556</v>
          </cell>
          <cell r="C407">
            <v>525420606111111</v>
          </cell>
          <cell r="D407" t="str">
            <v>LEVOTIROXINA SÓDICA</v>
          </cell>
          <cell r="E407" t="str">
            <v>200 MCG COM BL AL/ AL X 30</v>
          </cell>
          <cell r="F407" t="str">
            <v>Comprimido</v>
          </cell>
          <cell r="G407"/>
          <cell r="H407"/>
          <cell r="I407">
            <v>30</v>
          </cell>
          <cell r="J407"/>
          <cell r="K407" t="str">
            <v>Conformidade</v>
          </cell>
          <cell r="L407">
            <v>3</v>
          </cell>
          <cell r="M407" t="str">
            <v>Tarja Vermelha</v>
          </cell>
          <cell r="N407" t="str">
            <v>Não</v>
          </cell>
          <cell r="O407" t="str">
            <v>Não</v>
          </cell>
          <cell r="P407" t="str">
            <v>Não</v>
          </cell>
          <cell r="Q407" t="str">
            <v>I</v>
          </cell>
          <cell r="R407"/>
          <cell r="S407" t="str">
            <v>Genérico</v>
          </cell>
          <cell r="T407" t="str">
            <v>Monitorado</v>
          </cell>
          <cell r="U407"/>
          <cell r="V407" t="str">
            <v>55-03-8</v>
          </cell>
          <cell r="W407"/>
          <cell r="X407"/>
          <cell r="Y407" t="str">
            <v>MCG</v>
          </cell>
          <cell r="Z407">
            <v>5295</v>
          </cell>
          <cell r="AA407" t="str">
            <v>297 - PREPARAÇÕES PARA TIREOIDE</v>
          </cell>
          <cell r="AB407" t="str">
            <v>N</v>
          </cell>
          <cell r="AC407" t="str">
            <v>N</v>
          </cell>
          <cell r="AD407">
            <v>0</v>
          </cell>
          <cell r="AE407" t="str">
            <v>N</v>
          </cell>
          <cell r="AF407">
            <v>0</v>
          </cell>
          <cell r="AG407">
            <v>17.55</v>
          </cell>
          <cell r="AH407">
            <v>18.61</v>
          </cell>
          <cell r="AI407">
            <v>0</v>
          </cell>
          <cell r="AJ407">
            <v>18.829999999999998</v>
          </cell>
          <cell r="AK407">
            <v>19.07</v>
          </cell>
          <cell r="AL407">
            <v>0</v>
          </cell>
          <cell r="AM407">
            <v>18.61</v>
          </cell>
          <cell r="AN407">
            <v>0</v>
          </cell>
          <cell r="AO407">
            <v>24.26</v>
          </cell>
          <cell r="AP407">
            <v>25.73</v>
          </cell>
          <cell r="AQ407">
            <v>0</v>
          </cell>
          <cell r="AR407">
            <v>26.04</v>
          </cell>
          <cell r="AS407">
            <v>26.36</v>
          </cell>
          <cell r="AT407">
            <v>0</v>
          </cell>
          <cell r="AU407">
            <v>25.73</v>
          </cell>
          <cell r="AV407">
            <v>0</v>
          </cell>
          <cell r="AW407">
            <v>17.78</v>
          </cell>
          <cell r="AX407">
            <v>18.86</v>
          </cell>
          <cell r="AY407">
            <v>18.97</v>
          </cell>
          <cell r="AZ407">
            <v>19.09</v>
          </cell>
          <cell r="BA407">
            <v>19.32</v>
          </cell>
          <cell r="BB407">
            <v>19.32</v>
          </cell>
          <cell r="BC407">
            <v>18.86</v>
          </cell>
          <cell r="BD407">
            <v>0</v>
          </cell>
          <cell r="BE407">
            <v>24.58</v>
          </cell>
          <cell r="BF407">
            <v>26.07</v>
          </cell>
          <cell r="BG407">
            <v>26.22</v>
          </cell>
          <cell r="BH407">
            <v>26.38</v>
          </cell>
          <cell r="BI407">
            <v>26.71</v>
          </cell>
          <cell r="BJ407">
            <v>27.04</v>
          </cell>
          <cell r="BK407">
            <v>26.07</v>
          </cell>
        </row>
        <row r="408">
          <cell r="A408"/>
          <cell r="B408"/>
          <cell r="C408"/>
          <cell r="D408"/>
          <cell r="E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  <cell r="AQ408"/>
          <cell r="AR408"/>
          <cell r="AS408"/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/>
          <cell r="BG408"/>
          <cell r="BH408"/>
          <cell r="BI408"/>
          <cell r="BJ408"/>
          <cell r="BK408"/>
        </row>
        <row r="409">
          <cell r="A409">
            <v>7891721019791</v>
          </cell>
          <cell r="B409">
            <v>1008903550025</v>
          </cell>
          <cell r="C409">
            <v>525420610119111</v>
          </cell>
          <cell r="D409" t="str">
            <v>LEVOTIROXINA SÓDICA</v>
          </cell>
          <cell r="E409" t="str">
            <v>25 MCG COM BL AL/ AL X 30</v>
          </cell>
          <cell r="F409" t="str">
            <v>Comprimido</v>
          </cell>
          <cell r="G409"/>
          <cell r="H409"/>
          <cell r="I409">
            <v>30</v>
          </cell>
          <cell r="J409"/>
          <cell r="K409" t="str">
            <v>Conformidade</v>
          </cell>
          <cell r="L409">
            <v>3</v>
          </cell>
          <cell r="M409" t="str">
            <v>Tarja Vermelha</v>
          </cell>
          <cell r="N409" t="str">
            <v>Não</v>
          </cell>
          <cell r="O409" t="str">
            <v>Não</v>
          </cell>
          <cell r="P409" t="str">
            <v>Sim</v>
          </cell>
          <cell r="Q409" t="str">
            <v>I</v>
          </cell>
          <cell r="R409"/>
          <cell r="S409" t="str">
            <v>Genérico</v>
          </cell>
          <cell r="T409" t="str">
            <v>Monitorado</v>
          </cell>
          <cell r="U409"/>
          <cell r="V409" t="str">
            <v>55-03-8</v>
          </cell>
          <cell r="W409"/>
          <cell r="X409"/>
          <cell r="Y409" t="str">
            <v>MCG</v>
          </cell>
          <cell r="Z409">
            <v>5295</v>
          </cell>
          <cell r="AA409" t="str">
            <v>297 - PREPARAÇÕES PARA TIREOIDE</v>
          </cell>
          <cell r="AB409" t="str">
            <v>N</v>
          </cell>
          <cell r="AC409" t="str">
            <v>N</v>
          </cell>
          <cell r="AD409">
            <v>0</v>
          </cell>
          <cell r="AE409" t="str">
            <v>N</v>
          </cell>
          <cell r="AF409">
            <v>0</v>
          </cell>
          <cell r="AG409">
            <v>5.4</v>
          </cell>
          <cell r="AH409">
            <v>5.72</v>
          </cell>
          <cell r="AI409">
            <v>0</v>
          </cell>
          <cell r="AJ409">
            <v>5.79</v>
          </cell>
          <cell r="AK409">
            <v>5.87</v>
          </cell>
          <cell r="AL409">
            <v>0</v>
          </cell>
          <cell r="AM409">
            <v>5.72</v>
          </cell>
          <cell r="AN409">
            <v>0</v>
          </cell>
          <cell r="AO409">
            <v>7.47</v>
          </cell>
          <cell r="AP409">
            <v>7.91</v>
          </cell>
          <cell r="AQ409">
            <v>0</v>
          </cell>
          <cell r="AR409">
            <v>8.01</v>
          </cell>
          <cell r="AS409">
            <v>8.11</v>
          </cell>
          <cell r="AT409">
            <v>0</v>
          </cell>
          <cell r="AU409">
            <v>7.91</v>
          </cell>
          <cell r="AV409">
            <v>0</v>
          </cell>
          <cell r="AW409">
            <v>5.47</v>
          </cell>
          <cell r="AX409">
            <v>5.8</v>
          </cell>
          <cell r="AY409">
            <v>5.83</v>
          </cell>
          <cell r="AZ409">
            <v>5.87</v>
          </cell>
          <cell r="BA409">
            <v>5.94</v>
          </cell>
          <cell r="BB409">
            <v>5.94</v>
          </cell>
          <cell r="BC409">
            <v>5.8</v>
          </cell>
          <cell r="BD409">
            <v>0</v>
          </cell>
          <cell r="BE409">
            <v>7.56</v>
          </cell>
          <cell r="BF409">
            <v>8.02</v>
          </cell>
          <cell r="BG409">
            <v>8.06</v>
          </cell>
          <cell r="BH409">
            <v>8.11</v>
          </cell>
          <cell r="BI409">
            <v>8.2100000000000009</v>
          </cell>
          <cell r="BJ409">
            <v>8.31</v>
          </cell>
          <cell r="BK409">
            <v>8.02</v>
          </cell>
        </row>
        <row r="410">
          <cell r="A410"/>
          <cell r="B410"/>
          <cell r="C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  <cell r="AQ410"/>
          <cell r="AR410"/>
          <cell r="AS410"/>
          <cell r="AT410"/>
          <cell r="AU410"/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/>
          <cell r="BG410"/>
          <cell r="BH410"/>
          <cell r="BI410"/>
          <cell r="BJ410"/>
          <cell r="BK410"/>
        </row>
        <row r="411">
          <cell r="A411">
            <v>7891721019845</v>
          </cell>
          <cell r="B411">
            <v>1008903550084</v>
          </cell>
          <cell r="C411">
            <v>525420607118118</v>
          </cell>
          <cell r="D411" t="str">
            <v>LEVOTIROXINA SÓDICA</v>
          </cell>
          <cell r="E411" t="str">
            <v>50 MCG COM BL AL/ AL X 30</v>
          </cell>
          <cell r="F411" t="str">
            <v>Comprimido</v>
          </cell>
          <cell r="G411"/>
          <cell r="H411"/>
          <cell r="I411">
            <v>30</v>
          </cell>
          <cell r="J411"/>
          <cell r="K411" t="str">
            <v>Conformidade</v>
          </cell>
          <cell r="L411">
            <v>3</v>
          </cell>
          <cell r="M411" t="str">
            <v>Tarja Vermelha</v>
          </cell>
          <cell r="N411" t="str">
            <v>Não</v>
          </cell>
          <cell r="O411" t="str">
            <v>Não</v>
          </cell>
          <cell r="P411" t="str">
            <v>Sim</v>
          </cell>
          <cell r="Q411" t="str">
            <v>I</v>
          </cell>
          <cell r="R411"/>
          <cell r="S411" t="str">
            <v>Genérico</v>
          </cell>
          <cell r="T411" t="str">
            <v>Monitorado</v>
          </cell>
          <cell r="U411"/>
          <cell r="V411" t="str">
            <v>55-03-8</v>
          </cell>
          <cell r="W411"/>
          <cell r="X411"/>
          <cell r="Y411" t="str">
            <v>MCG</v>
          </cell>
          <cell r="Z411">
            <v>5295</v>
          </cell>
          <cell r="AA411" t="str">
            <v>297 - PREPARAÇÕES PARA TIREOIDE</v>
          </cell>
          <cell r="AB411" t="str">
            <v>N</v>
          </cell>
          <cell r="AC411" t="str">
            <v>N</v>
          </cell>
          <cell r="AD411">
            <v>0</v>
          </cell>
          <cell r="AE411" t="str">
            <v>N</v>
          </cell>
          <cell r="AF411">
            <v>0</v>
          </cell>
          <cell r="AG411">
            <v>5.99</v>
          </cell>
          <cell r="AH411">
            <v>6.35</v>
          </cell>
          <cell r="AI411">
            <v>0</v>
          </cell>
          <cell r="AJ411">
            <v>6.42</v>
          </cell>
          <cell r="AK411">
            <v>6.5</v>
          </cell>
          <cell r="AL411">
            <v>0</v>
          </cell>
          <cell r="AM411">
            <v>6.35</v>
          </cell>
          <cell r="AN411">
            <v>0</v>
          </cell>
          <cell r="AO411">
            <v>8.2799999999999994</v>
          </cell>
          <cell r="AP411">
            <v>8.7799999999999994</v>
          </cell>
          <cell r="AQ411">
            <v>0</v>
          </cell>
          <cell r="AR411">
            <v>8.8800000000000008</v>
          </cell>
          <cell r="AS411">
            <v>8.99</v>
          </cell>
          <cell r="AT411">
            <v>0</v>
          </cell>
          <cell r="AU411">
            <v>8.7799999999999994</v>
          </cell>
          <cell r="AV411">
            <v>0</v>
          </cell>
          <cell r="AW411">
            <v>6.06</v>
          </cell>
          <cell r="AX411">
            <v>6.43</v>
          </cell>
          <cell r="AY411">
            <v>6.47</v>
          </cell>
          <cell r="AZ411">
            <v>6.51</v>
          </cell>
          <cell r="BA411">
            <v>6.59</v>
          </cell>
          <cell r="BB411">
            <v>6.59</v>
          </cell>
          <cell r="BC411">
            <v>6.43</v>
          </cell>
          <cell r="BD411">
            <v>0</v>
          </cell>
          <cell r="BE411">
            <v>8.3800000000000008</v>
          </cell>
          <cell r="BF411">
            <v>8.89</v>
          </cell>
          <cell r="BG411">
            <v>8.94</v>
          </cell>
          <cell r="BH411">
            <v>9</v>
          </cell>
          <cell r="BI411">
            <v>9.11</v>
          </cell>
          <cell r="BJ411">
            <v>9.2200000000000006</v>
          </cell>
          <cell r="BK411">
            <v>8.89</v>
          </cell>
        </row>
        <row r="412">
          <cell r="A412"/>
          <cell r="B412"/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  <cell r="AM412"/>
          <cell r="AN412"/>
          <cell r="AO412"/>
          <cell r="AP412"/>
          <cell r="AQ412"/>
          <cell r="AR412"/>
          <cell r="AS412"/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/>
          <cell r="BG412"/>
          <cell r="BH412"/>
          <cell r="BI412"/>
          <cell r="BJ412"/>
          <cell r="BK412"/>
        </row>
        <row r="413">
          <cell r="A413"/>
          <cell r="B413"/>
          <cell r="C413"/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  <cell r="AM413"/>
          <cell r="AN413"/>
          <cell r="AO413"/>
          <cell r="AP413"/>
          <cell r="AQ413"/>
          <cell r="AR413"/>
          <cell r="AS413"/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/>
          <cell r="BG413"/>
          <cell r="BH413"/>
          <cell r="BI413"/>
          <cell r="BJ413"/>
          <cell r="BK413"/>
        </row>
        <row r="414">
          <cell r="A414">
            <v>7891721019890</v>
          </cell>
          <cell r="B414">
            <v>1008903550262</v>
          </cell>
          <cell r="C414">
            <v>525420601111111</v>
          </cell>
          <cell r="D414" t="str">
            <v>LEVOTIROXINA SÓDICA</v>
          </cell>
          <cell r="E414" t="str">
            <v>75 MCG COM BL AL/ AL X 30</v>
          </cell>
          <cell r="F414" t="str">
            <v>Comprimido</v>
          </cell>
          <cell r="G414"/>
          <cell r="H414"/>
          <cell r="I414">
            <v>30</v>
          </cell>
          <cell r="J414"/>
          <cell r="K414" t="str">
            <v>Conformidade</v>
          </cell>
          <cell r="L414">
            <v>3</v>
          </cell>
          <cell r="M414" t="str">
            <v>Tarja Vermelha</v>
          </cell>
          <cell r="N414" t="str">
            <v>Não</v>
          </cell>
          <cell r="O414" t="str">
            <v>Não</v>
          </cell>
          <cell r="P414" t="str">
            <v>Não</v>
          </cell>
          <cell r="Q414" t="str">
            <v>I</v>
          </cell>
          <cell r="R414"/>
          <cell r="S414" t="str">
            <v>Genérico</v>
          </cell>
          <cell r="T414" t="str">
            <v>Monitorado</v>
          </cell>
          <cell r="U414"/>
          <cell r="V414" t="str">
            <v>55-03-8</v>
          </cell>
          <cell r="W414"/>
          <cell r="X414"/>
          <cell r="Y414" t="str">
            <v>MCG</v>
          </cell>
          <cell r="Z414">
            <v>5295</v>
          </cell>
          <cell r="AA414" t="str">
            <v>297 - PREPARAÇÕES PARA TIREOIDE</v>
          </cell>
          <cell r="AB414" t="str">
            <v>N</v>
          </cell>
          <cell r="AC414" t="str">
            <v>N</v>
          </cell>
          <cell r="AD414">
            <v>0</v>
          </cell>
          <cell r="AE414" t="str">
            <v>N</v>
          </cell>
          <cell r="AF414">
            <v>0</v>
          </cell>
          <cell r="AG414">
            <v>6.53</v>
          </cell>
          <cell r="AH414">
            <v>6.92</v>
          </cell>
          <cell r="AI414">
            <v>0</v>
          </cell>
          <cell r="AJ414">
            <v>7.01</v>
          </cell>
          <cell r="AK414">
            <v>7.1</v>
          </cell>
          <cell r="AL414">
            <v>0</v>
          </cell>
          <cell r="AM414">
            <v>6.92</v>
          </cell>
          <cell r="AN414">
            <v>0</v>
          </cell>
          <cell r="AO414">
            <v>9.0299999999999994</v>
          </cell>
          <cell r="AP414">
            <v>9.57</v>
          </cell>
          <cell r="AQ414">
            <v>0</v>
          </cell>
          <cell r="AR414">
            <v>9.69</v>
          </cell>
          <cell r="AS414">
            <v>9.82</v>
          </cell>
          <cell r="AT414">
            <v>0</v>
          </cell>
          <cell r="AU414">
            <v>9.57</v>
          </cell>
          <cell r="AV414">
            <v>0</v>
          </cell>
          <cell r="AW414">
            <v>6.62</v>
          </cell>
          <cell r="AX414">
            <v>7.02</v>
          </cell>
          <cell r="AY414">
            <v>7.06</v>
          </cell>
          <cell r="AZ414">
            <v>7.11</v>
          </cell>
          <cell r="BA414">
            <v>7.19</v>
          </cell>
          <cell r="BB414">
            <v>7.19</v>
          </cell>
          <cell r="BC414">
            <v>7.02</v>
          </cell>
          <cell r="BD414">
            <v>0</v>
          </cell>
          <cell r="BE414">
            <v>9.15</v>
          </cell>
          <cell r="BF414">
            <v>9.6999999999999993</v>
          </cell>
          <cell r="BG414">
            <v>9.76</v>
          </cell>
          <cell r="BH414">
            <v>9.82</v>
          </cell>
          <cell r="BI414">
            <v>9.94</v>
          </cell>
          <cell r="BJ414">
            <v>10.06</v>
          </cell>
          <cell r="BK414">
            <v>9.6999999999999993</v>
          </cell>
        </row>
        <row r="415">
          <cell r="A415"/>
          <cell r="B415"/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  <cell r="AM415"/>
          <cell r="AN415"/>
          <cell r="AO415"/>
          <cell r="AP415"/>
          <cell r="AQ415"/>
          <cell r="AR415"/>
          <cell r="AS415"/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/>
          <cell r="BG415"/>
          <cell r="BH415"/>
          <cell r="BI415"/>
          <cell r="BJ415"/>
          <cell r="BK415"/>
        </row>
        <row r="416">
          <cell r="A416">
            <v>7891721019944</v>
          </cell>
          <cell r="B416">
            <v>1008903550467</v>
          </cell>
          <cell r="C416">
            <v>525420609110114</v>
          </cell>
          <cell r="D416" t="str">
            <v>LEVOTIROXINA SÓDICA</v>
          </cell>
          <cell r="E416" t="str">
            <v>88 MCG COM BL AL/ AL X 30</v>
          </cell>
          <cell r="F416" t="str">
            <v>Comprimido</v>
          </cell>
          <cell r="G416"/>
          <cell r="H416"/>
          <cell r="I416">
            <v>30</v>
          </cell>
          <cell r="J416"/>
          <cell r="K416" t="str">
            <v>Conformidade</v>
          </cell>
          <cell r="L416">
            <v>3</v>
          </cell>
          <cell r="M416" t="str">
            <v>Tarja Vermelha</v>
          </cell>
          <cell r="N416" t="str">
            <v>Não</v>
          </cell>
          <cell r="O416" t="str">
            <v>Não</v>
          </cell>
          <cell r="P416" t="str">
            <v>Não</v>
          </cell>
          <cell r="Q416" t="str">
            <v>I</v>
          </cell>
          <cell r="R416"/>
          <cell r="S416" t="str">
            <v>Genérico</v>
          </cell>
          <cell r="T416" t="str">
            <v>Monitorado</v>
          </cell>
          <cell r="U416"/>
          <cell r="V416" t="str">
            <v>55-03-8</v>
          </cell>
          <cell r="W416"/>
          <cell r="X416"/>
          <cell r="Y416" t="str">
            <v>MCG</v>
          </cell>
          <cell r="Z416">
            <v>5295</v>
          </cell>
          <cell r="AA416" t="str">
            <v>297 - PREPARAÇÕES PARA TIREOIDE</v>
          </cell>
          <cell r="AB416" t="str">
            <v>N</v>
          </cell>
          <cell r="AC416" t="str">
            <v>N</v>
          </cell>
          <cell r="AD416">
            <v>0</v>
          </cell>
          <cell r="AE416" t="str">
            <v>N</v>
          </cell>
          <cell r="AF416">
            <v>0</v>
          </cell>
          <cell r="AG416">
            <v>7.86</v>
          </cell>
          <cell r="AH416">
            <v>8.34</v>
          </cell>
          <cell r="AI416">
            <v>0</v>
          </cell>
          <cell r="AJ416">
            <v>8.44</v>
          </cell>
          <cell r="AK416">
            <v>8.5399999999999991</v>
          </cell>
          <cell r="AL416">
            <v>0</v>
          </cell>
          <cell r="AM416">
            <v>8.34</v>
          </cell>
          <cell r="AN416">
            <v>0</v>
          </cell>
          <cell r="AO416">
            <v>10.87</v>
          </cell>
          <cell r="AP416">
            <v>11.53</v>
          </cell>
          <cell r="AQ416">
            <v>0</v>
          </cell>
          <cell r="AR416">
            <v>11.67</v>
          </cell>
          <cell r="AS416">
            <v>11.81</v>
          </cell>
          <cell r="AT416">
            <v>0</v>
          </cell>
          <cell r="AU416">
            <v>11.53</v>
          </cell>
          <cell r="AV416">
            <v>0</v>
          </cell>
          <cell r="AW416">
            <v>7.97</v>
          </cell>
          <cell r="AX416">
            <v>8.4499999999999993</v>
          </cell>
          <cell r="AY416">
            <v>8.5</v>
          </cell>
          <cell r="AZ416">
            <v>8.5500000000000007</v>
          </cell>
          <cell r="BA416">
            <v>8.66</v>
          </cell>
          <cell r="BB416">
            <v>8.66</v>
          </cell>
          <cell r="BC416">
            <v>8.4499999999999993</v>
          </cell>
          <cell r="BD416">
            <v>0</v>
          </cell>
          <cell r="BE416">
            <v>11.02</v>
          </cell>
          <cell r="BF416">
            <v>11.68</v>
          </cell>
          <cell r="BG416">
            <v>11.75</v>
          </cell>
          <cell r="BH416">
            <v>11.83</v>
          </cell>
          <cell r="BI416">
            <v>11.97</v>
          </cell>
          <cell r="BJ416">
            <v>12.12</v>
          </cell>
          <cell r="BK416">
            <v>11.68</v>
          </cell>
        </row>
        <row r="417">
          <cell r="A417"/>
          <cell r="B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  <cell r="AM417"/>
          <cell r="AN417"/>
          <cell r="AO417"/>
          <cell r="AP417"/>
          <cell r="AQ417"/>
          <cell r="AR417"/>
          <cell r="AS417"/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/>
          <cell r="BG417"/>
          <cell r="BH417"/>
          <cell r="BI417"/>
          <cell r="BJ417"/>
          <cell r="BK417"/>
        </row>
        <row r="418">
          <cell r="A418">
            <v>7891721238468</v>
          </cell>
          <cell r="B418">
            <v>1008903110017</v>
          </cell>
          <cell r="C418">
            <v>525406002131111</v>
          </cell>
          <cell r="D418" t="str">
            <v>LORATADINA</v>
          </cell>
          <cell r="E418" t="str">
            <v>1 MG/ML XPE CT FR VD AMB X 100 ML + CP MED </v>
          </cell>
          <cell r="F418" t="str">
            <v>Xarope</v>
          </cell>
          <cell r="G418">
            <v>1</v>
          </cell>
          <cell r="H418" t="str">
            <v>FRASCO</v>
          </cell>
          <cell r="I418">
            <v>100</v>
          </cell>
          <cell r="J418" t="str">
            <v>ML</v>
          </cell>
          <cell r="K418" t="str">
            <v>Conformidade</v>
          </cell>
          <cell r="L418">
            <v>1</v>
          </cell>
          <cell r="M418" t="str">
            <v>Tarja Vermelha</v>
          </cell>
          <cell r="N418" t="str">
            <v>Não</v>
          </cell>
          <cell r="O418" t="str">
            <v>Não</v>
          </cell>
          <cell r="P418" t="str">
            <v>Não</v>
          </cell>
          <cell r="Q418" t="str">
            <v>N</v>
          </cell>
          <cell r="R418"/>
          <cell r="S418" t="str">
            <v>Genérico</v>
          </cell>
          <cell r="T418" t="str">
            <v>Monitorado</v>
          </cell>
          <cell r="U418"/>
          <cell r="V418" t="str">
            <v>79794-75-5</v>
          </cell>
          <cell r="W418"/>
          <cell r="X418"/>
          <cell r="Y418" t="str">
            <v>MG/ML</v>
          </cell>
          <cell r="Z418">
            <v>5416</v>
          </cell>
          <cell r="AA418" t="str">
            <v>565 - ANTI-HISTAMÍNICOS SISTÊMICOS</v>
          </cell>
          <cell r="AB418" t="str">
            <v>N</v>
          </cell>
          <cell r="AC418" t="str">
            <v>N</v>
          </cell>
          <cell r="AD418">
            <v>0</v>
          </cell>
          <cell r="AE418" t="str">
            <v>N</v>
          </cell>
          <cell r="AF418">
            <v>0</v>
          </cell>
          <cell r="AG418">
            <v>17</v>
          </cell>
          <cell r="AH418">
            <v>18.170000000000002</v>
          </cell>
          <cell r="AI418">
            <v>0</v>
          </cell>
          <cell r="AJ418">
            <v>18.43</v>
          </cell>
          <cell r="AK418">
            <v>18.690000000000001</v>
          </cell>
          <cell r="AL418">
            <v>0</v>
          </cell>
          <cell r="AM418">
            <v>15.82</v>
          </cell>
          <cell r="AN418">
            <v>0</v>
          </cell>
          <cell r="AO418">
            <v>22.71</v>
          </cell>
          <cell r="AP418">
            <v>24.22</v>
          </cell>
          <cell r="AQ418">
            <v>0</v>
          </cell>
          <cell r="AR418">
            <v>24.55</v>
          </cell>
          <cell r="AS418">
            <v>24.89</v>
          </cell>
          <cell r="AT418">
            <v>0</v>
          </cell>
          <cell r="AU418">
            <v>21.87</v>
          </cell>
          <cell r="AV418">
            <v>0</v>
          </cell>
          <cell r="AW418">
            <v>17</v>
          </cell>
          <cell r="AX418">
            <v>18.170000000000002</v>
          </cell>
          <cell r="AY418">
            <v>18.3</v>
          </cell>
          <cell r="AZ418">
            <v>18.43</v>
          </cell>
          <cell r="BA418">
            <v>18.690000000000001</v>
          </cell>
          <cell r="BB418">
            <v>18.690000000000001</v>
          </cell>
          <cell r="BC418">
            <v>15.82</v>
          </cell>
          <cell r="BD418">
            <v>0</v>
          </cell>
          <cell r="BE418">
            <v>22.71</v>
          </cell>
          <cell r="BF418">
            <v>24.22</v>
          </cell>
          <cell r="BG418">
            <v>24.39</v>
          </cell>
          <cell r="BH418">
            <v>24.55</v>
          </cell>
          <cell r="BI418">
            <v>24.89</v>
          </cell>
          <cell r="BJ418">
            <v>25.24</v>
          </cell>
          <cell r="BK418">
            <v>21.87</v>
          </cell>
        </row>
        <row r="419">
          <cell r="A419">
            <v>7891721270505</v>
          </cell>
          <cell r="B419">
            <v>1008902980026</v>
          </cell>
          <cell r="C419">
            <v>525406001119116</v>
          </cell>
          <cell r="D419" t="str">
            <v>LORATADINA</v>
          </cell>
          <cell r="E419" t="str">
            <v>10 MG COM REV EST CT 2 BL AL PLAS AMB X 6 </v>
          </cell>
          <cell r="F419" t="str">
            <v>Comprimido revestido</v>
          </cell>
          <cell r="G419"/>
          <cell r="H419"/>
          <cell r="I419">
            <v>12</v>
          </cell>
          <cell r="J419"/>
          <cell r="K419" t="str">
            <v>Conformidade</v>
          </cell>
          <cell r="L419">
            <v>1</v>
          </cell>
          <cell r="M419" t="str">
            <v>Tarja Vermelha</v>
          </cell>
          <cell r="N419" t="str">
            <v>Não</v>
          </cell>
          <cell r="O419" t="str">
            <v>Não</v>
          </cell>
          <cell r="P419" t="str">
            <v>Não</v>
          </cell>
          <cell r="Q419" t="str">
            <v>N</v>
          </cell>
          <cell r="R419"/>
          <cell r="S419" t="str">
            <v>Genérico</v>
          </cell>
          <cell r="T419" t="str">
            <v>Monitorado</v>
          </cell>
          <cell r="U419"/>
          <cell r="V419" t="str">
            <v>79794-75-5</v>
          </cell>
          <cell r="W419"/>
          <cell r="X419"/>
          <cell r="Y419" t="str">
            <v>MG</v>
          </cell>
          <cell r="Z419">
            <v>5416</v>
          </cell>
          <cell r="AA419" t="str">
            <v>565 - ANTI-HISTAMÍNICOS SISTÊMICOS</v>
          </cell>
          <cell r="AB419" t="str">
            <v>N</v>
          </cell>
          <cell r="AC419" t="str">
            <v>N</v>
          </cell>
          <cell r="AD419">
            <v>0</v>
          </cell>
          <cell r="AE419" t="str">
            <v>N</v>
          </cell>
          <cell r="AF419">
            <v>0</v>
          </cell>
          <cell r="AG419">
            <v>23.11</v>
          </cell>
          <cell r="AH419">
            <v>24.72</v>
          </cell>
          <cell r="AI419">
            <v>0</v>
          </cell>
          <cell r="AJ419">
            <v>25.07</v>
          </cell>
          <cell r="AK419">
            <v>25.42</v>
          </cell>
          <cell r="AL419">
            <v>0</v>
          </cell>
          <cell r="AM419">
            <v>21.52</v>
          </cell>
          <cell r="AN419">
            <v>0</v>
          </cell>
          <cell r="AO419">
            <v>30.87</v>
          </cell>
          <cell r="AP419">
            <v>32.950000000000003</v>
          </cell>
          <cell r="AQ419">
            <v>0</v>
          </cell>
          <cell r="AR419">
            <v>33.39</v>
          </cell>
          <cell r="AS419">
            <v>33.85</v>
          </cell>
          <cell r="AT419">
            <v>0</v>
          </cell>
          <cell r="AU419">
            <v>29.75</v>
          </cell>
          <cell r="AV419">
            <v>0</v>
          </cell>
          <cell r="AW419">
            <v>24.22</v>
          </cell>
          <cell r="AX419">
            <v>25.9</v>
          </cell>
          <cell r="AY419">
            <v>26.08</v>
          </cell>
          <cell r="AZ419">
            <v>26.26</v>
          </cell>
          <cell r="BA419">
            <v>26.64</v>
          </cell>
          <cell r="BB419">
            <v>26.64</v>
          </cell>
          <cell r="BC419">
            <v>22.55</v>
          </cell>
          <cell r="BD419">
            <v>0</v>
          </cell>
          <cell r="BE419">
            <v>32.35</v>
          </cell>
          <cell r="BF419">
            <v>34.520000000000003</v>
          </cell>
          <cell r="BG419">
            <v>34.75</v>
          </cell>
          <cell r="BH419">
            <v>34.99</v>
          </cell>
          <cell r="BI419">
            <v>35.479999999999997</v>
          </cell>
          <cell r="BJ419">
            <v>35.96</v>
          </cell>
          <cell r="BK419">
            <v>31.17</v>
          </cell>
        </row>
        <row r="420">
          <cell r="A420"/>
          <cell r="B420"/>
          <cell r="C420"/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  <cell r="AM420"/>
          <cell r="AN420"/>
          <cell r="AO420"/>
          <cell r="AP420"/>
          <cell r="AQ420"/>
          <cell r="AR420"/>
          <cell r="AS420"/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/>
          <cell r="BG420"/>
          <cell r="BH420"/>
          <cell r="BI420"/>
          <cell r="BJ420"/>
          <cell r="BK420"/>
        </row>
        <row r="421">
          <cell r="A421">
            <v>7891721200311</v>
          </cell>
          <cell r="B421">
            <v>1008903200016</v>
          </cell>
          <cell r="C421">
            <v>525418601116111</v>
          </cell>
          <cell r="D421" t="str">
            <v>LORAZEPAM</v>
          </cell>
          <cell r="E421" t="str">
            <v>1 MG COM CT BL AL PLAS INC X 20</v>
          </cell>
          <cell r="F421" t="str">
            <v>Comprimido</v>
          </cell>
          <cell r="G421"/>
          <cell r="H421"/>
          <cell r="I421">
            <v>20</v>
          </cell>
          <cell r="J421"/>
          <cell r="K421" t="str">
            <v>Conformidade</v>
          </cell>
          <cell r="L421">
            <v>1</v>
          </cell>
          <cell r="M421" t="str">
            <v>Tarja Preta</v>
          </cell>
          <cell r="N421" t="str">
            <v>Não</v>
          </cell>
          <cell r="O421" t="str">
            <v>Não</v>
          </cell>
          <cell r="P421" t="str">
            <v>Não</v>
          </cell>
          <cell r="Q421" t="str">
            <v>I</v>
          </cell>
          <cell r="R421"/>
          <cell r="S421" t="str">
            <v>Genérico</v>
          </cell>
          <cell r="T421" t="str">
            <v>Monitorado</v>
          </cell>
          <cell r="U421"/>
          <cell r="V421" t="str">
            <v>846-49-1</v>
          </cell>
          <cell r="W421"/>
          <cell r="X421"/>
          <cell r="Y421" t="str">
            <v>MG</v>
          </cell>
          <cell r="Z421">
            <v>5417</v>
          </cell>
          <cell r="AA421" t="str">
            <v>500 - TRANQUILIZANTES</v>
          </cell>
          <cell r="AB421" t="str">
            <v>N</v>
          </cell>
          <cell r="AC421" t="str">
            <v>N</v>
          </cell>
          <cell r="AD421">
            <v>0</v>
          </cell>
          <cell r="AE421" t="str">
            <v>N</v>
          </cell>
          <cell r="AF421">
            <v>0</v>
          </cell>
          <cell r="AG421">
            <v>5.52</v>
          </cell>
          <cell r="AH421">
            <v>5.85</v>
          </cell>
          <cell r="AI421">
            <v>0</v>
          </cell>
          <cell r="AJ421">
            <v>5.92</v>
          </cell>
          <cell r="AK421">
            <v>5.99</v>
          </cell>
          <cell r="AL421">
            <v>0</v>
          </cell>
          <cell r="AM421">
            <v>5.85</v>
          </cell>
          <cell r="AN421">
            <v>0</v>
          </cell>
          <cell r="AO421">
            <v>7.63</v>
          </cell>
          <cell r="AP421">
            <v>8.09</v>
          </cell>
          <cell r="AQ421">
            <v>0</v>
          </cell>
          <cell r="AR421">
            <v>8.18</v>
          </cell>
          <cell r="AS421">
            <v>8.2799999999999994</v>
          </cell>
          <cell r="AT421">
            <v>0</v>
          </cell>
          <cell r="AU421">
            <v>8.09</v>
          </cell>
          <cell r="AV421">
            <v>0</v>
          </cell>
          <cell r="AW421">
            <v>5.52</v>
          </cell>
          <cell r="AX421">
            <v>5.85</v>
          </cell>
          <cell r="AY421">
            <v>5.88</v>
          </cell>
          <cell r="AZ421">
            <v>5.92</v>
          </cell>
          <cell r="BA421">
            <v>5.99</v>
          </cell>
          <cell r="BB421">
            <v>5.99</v>
          </cell>
          <cell r="BC421">
            <v>5.85</v>
          </cell>
          <cell r="BD421">
            <v>0</v>
          </cell>
          <cell r="BE421">
            <v>7.63</v>
          </cell>
          <cell r="BF421">
            <v>8.09</v>
          </cell>
          <cell r="BG421">
            <v>8.1300000000000008</v>
          </cell>
          <cell r="BH421">
            <v>8.18</v>
          </cell>
          <cell r="BI421">
            <v>8.2799999999999994</v>
          </cell>
          <cell r="BJ421">
            <v>8.39</v>
          </cell>
          <cell r="BK421">
            <v>8.09</v>
          </cell>
        </row>
        <row r="422">
          <cell r="A422">
            <v>7891721200335</v>
          </cell>
          <cell r="B422">
            <v>1008903200032</v>
          </cell>
          <cell r="C422">
            <v>525418602112111</v>
          </cell>
          <cell r="D422" t="str">
            <v>LORAZEPAM</v>
          </cell>
          <cell r="E422" t="str">
            <v>2 MG COM CT BL AL PLAS INC X 20</v>
          </cell>
          <cell r="F422" t="str">
            <v>Comprimido</v>
          </cell>
          <cell r="G422"/>
          <cell r="H422"/>
          <cell r="I422">
            <v>20</v>
          </cell>
          <cell r="J422"/>
          <cell r="K422" t="str">
            <v>Conformidade</v>
          </cell>
          <cell r="L422">
            <v>1</v>
          </cell>
          <cell r="M422" t="str">
            <v>Tarja Preta</v>
          </cell>
          <cell r="N422" t="str">
            <v>Não</v>
          </cell>
          <cell r="O422" t="str">
            <v>Não</v>
          </cell>
          <cell r="P422" t="str">
            <v>Não</v>
          </cell>
          <cell r="Q422" t="str">
            <v>I</v>
          </cell>
          <cell r="R422"/>
          <cell r="S422" t="str">
            <v>Genérico</v>
          </cell>
          <cell r="T422" t="str">
            <v>Monitorado</v>
          </cell>
          <cell r="U422"/>
          <cell r="V422" t="str">
            <v>846-49-1</v>
          </cell>
          <cell r="W422"/>
          <cell r="X422"/>
          <cell r="Y422" t="str">
            <v>MG</v>
          </cell>
          <cell r="Z422">
            <v>5417</v>
          </cell>
          <cell r="AA422" t="str">
            <v>500 - TRANQUILIZANTES</v>
          </cell>
          <cell r="AB422" t="str">
            <v>N</v>
          </cell>
          <cell r="AC422" t="str">
            <v>N</v>
          </cell>
          <cell r="AD422">
            <v>0</v>
          </cell>
          <cell r="AE422" t="str">
            <v>N</v>
          </cell>
          <cell r="AF422">
            <v>0</v>
          </cell>
          <cell r="AG422">
            <v>7.69</v>
          </cell>
          <cell r="AH422">
            <v>8.15</v>
          </cell>
          <cell r="AI422">
            <v>0</v>
          </cell>
          <cell r="AJ422">
            <v>8.25</v>
          </cell>
          <cell r="AK422">
            <v>8.35</v>
          </cell>
          <cell r="AL422">
            <v>0</v>
          </cell>
          <cell r="AM422">
            <v>8.15</v>
          </cell>
          <cell r="AN422">
            <v>0</v>
          </cell>
          <cell r="AO422">
            <v>10.63</v>
          </cell>
          <cell r="AP422">
            <v>11.27</v>
          </cell>
          <cell r="AQ422">
            <v>0</v>
          </cell>
          <cell r="AR422">
            <v>11.41</v>
          </cell>
          <cell r="AS422">
            <v>11.54</v>
          </cell>
          <cell r="AT422">
            <v>0</v>
          </cell>
          <cell r="AU422">
            <v>11.27</v>
          </cell>
          <cell r="AV422">
            <v>0</v>
          </cell>
          <cell r="AW422">
            <v>7.69</v>
          </cell>
          <cell r="AX422">
            <v>8.15</v>
          </cell>
          <cell r="AY422">
            <v>8.1999999999999993</v>
          </cell>
          <cell r="AZ422">
            <v>8.25</v>
          </cell>
          <cell r="BA422">
            <v>8.35</v>
          </cell>
          <cell r="BB422">
            <v>8.35</v>
          </cell>
          <cell r="BC422">
            <v>8.15</v>
          </cell>
          <cell r="BD422">
            <v>0</v>
          </cell>
          <cell r="BE422">
            <v>10.63</v>
          </cell>
          <cell r="BF422">
            <v>11.27</v>
          </cell>
          <cell r="BG422">
            <v>11.34</v>
          </cell>
          <cell r="BH422">
            <v>11.41</v>
          </cell>
          <cell r="BI422">
            <v>11.54</v>
          </cell>
          <cell r="BJ422">
            <v>11.7</v>
          </cell>
          <cell r="BK422">
            <v>11.27</v>
          </cell>
        </row>
        <row r="423">
          <cell r="A423">
            <v>7891721238567</v>
          </cell>
          <cell r="B423">
            <v>1008902990013</v>
          </cell>
          <cell r="C423">
            <v>525416901112115</v>
          </cell>
          <cell r="D423" t="str">
            <v>LOSARTANA POTÁSSICA</v>
          </cell>
          <cell r="E423" t="str">
            <v>50 MG COM REV EST CART BL AL PLAS INC X 30</v>
          </cell>
          <cell r="F423" t="str">
            <v>Comprimido revestido</v>
          </cell>
          <cell r="G423"/>
          <cell r="H423"/>
          <cell r="I423">
            <v>30</v>
          </cell>
          <cell r="J423"/>
          <cell r="K423" t="str">
            <v>Conformidade</v>
          </cell>
          <cell r="L423">
            <v>1</v>
          </cell>
          <cell r="M423" t="str">
            <v>Tarja Vermelha</v>
          </cell>
          <cell r="N423" t="str">
            <v>Não</v>
          </cell>
          <cell r="O423" t="str">
            <v>Não</v>
          </cell>
          <cell r="P423" t="str">
            <v>Não</v>
          </cell>
          <cell r="Q423" t="str">
            <v>I</v>
          </cell>
          <cell r="R423"/>
          <cell r="S423" t="str">
            <v>Genérico</v>
          </cell>
          <cell r="T423" t="str">
            <v>Monitorado</v>
          </cell>
          <cell r="U423"/>
          <cell r="V423" t="str">
            <v>124750-99-8</v>
          </cell>
          <cell r="W423"/>
          <cell r="X423"/>
          <cell r="Y423" t="str">
            <v>MG</v>
          </cell>
          <cell r="Z423">
            <v>5432</v>
          </cell>
          <cell r="AA423" t="str">
            <v>205 - ANTAGONISTAS DA ANGIOTENSINA II PUROS</v>
          </cell>
          <cell r="AB423" t="str">
            <v>N</v>
          </cell>
          <cell r="AC423" t="str">
            <v>N</v>
          </cell>
          <cell r="AD423">
            <v>0</v>
          </cell>
          <cell r="AE423" t="str">
            <v>N</v>
          </cell>
          <cell r="AF423">
            <v>0</v>
          </cell>
          <cell r="AG423">
            <v>26.79</v>
          </cell>
          <cell r="AH423">
            <v>28.41</v>
          </cell>
          <cell r="AI423">
            <v>0</v>
          </cell>
          <cell r="AJ423">
            <v>28.76</v>
          </cell>
          <cell r="AK423">
            <v>29.11</v>
          </cell>
          <cell r="AL423">
            <v>0</v>
          </cell>
          <cell r="AM423">
            <v>28.41</v>
          </cell>
          <cell r="AN423">
            <v>0</v>
          </cell>
          <cell r="AO423">
            <v>37.04</v>
          </cell>
          <cell r="AP423">
            <v>39.28</v>
          </cell>
          <cell r="AQ423">
            <v>0</v>
          </cell>
          <cell r="AR423">
            <v>39.75</v>
          </cell>
          <cell r="AS423">
            <v>40.24</v>
          </cell>
          <cell r="AT423">
            <v>0</v>
          </cell>
          <cell r="AU423">
            <v>39.28</v>
          </cell>
          <cell r="AV423">
            <v>0</v>
          </cell>
          <cell r="AW423">
            <v>28.07</v>
          </cell>
          <cell r="AX423">
            <v>29.77</v>
          </cell>
          <cell r="AY423">
            <v>29.95</v>
          </cell>
          <cell r="AZ423">
            <v>30.13</v>
          </cell>
          <cell r="BA423">
            <v>30.5</v>
          </cell>
          <cell r="BB423">
            <v>30.5</v>
          </cell>
          <cell r="BC423">
            <v>29.77</v>
          </cell>
          <cell r="BD423">
            <v>0</v>
          </cell>
          <cell r="BE423">
            <v>38.81</v>
          </cell>
          <cell r="BF423">
            <v>41.16</v>
          </cell>
          <cell r="BG423">
            <v>41.4</v>
          </cell>
          <cell r="BH423">
            <v>41.65</v>
          </cell>
          <cell r="BI423">
            <v>42.16</v>
          </cell>
          <cell r="BJ423">
            <v>42.69</v>
          </cell>
          <cell r="BK423">
            <v>41.16</v>
          </cell>
        </row>
        <row r="424">
          <cell r="A424"/>
          <cell r="B424"/>
          <cell r="C424"/>
          <cell r="D424"/>
          <cell r="E424"/>
          <cell r="F424"/>
          <cell r="G424"/>
          <cell r="H424"/>
          <cell r="I424"/>
          <cell r="J424"/>
          <cell r="K424"/>
          <cell r="L424"/>
          <cell r="M424"/>
          <cell r="N424"/>
          <cell r="O424"/>
          <cell r="P424"/>
          <cell r="Q424"/>
          <cell r="R424"/>
          <cell r="S424"/>
          <cell r="T424"/>
          <cell r="U424"/>
          <cell r="V424"/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  <cell r="AM424"/>
          <cell r="AN424"/>
          <cell r="AO424"/>
          <cell r="AP424"/>
          <cell r="AQ424"/>
          <cell r="AR424"/>
          <cell r="AS424"/>
          <cell r="AT424"/>
          <cell r="AU424"/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/>
          <cell r="BG424"/>
          <cell r="BH424"/>
          <cell r="BI424"/>
          <cell r="BJ424"/>
          <cell r="BK424"/>
        </row>
        <row r="425">
          <cell r="A425">
            <v>7891721025501</v>
          </cell>
          <cell r="B425">
            <v>1008903230111</v>
          </cell>
          <cell r="C425">
            <v>525412080043503</v>
          </cell>
          <cell r="D425" t="str">
            <v>LOSARTION</v>
          </cell>
          <cell r="E425" t="str">
            <v>100 MG COM REV CT BL AL AL X 30</v>
          </cell>
          <cell r="F425" t="str">
            <v>Comprimido revestido</v>
          </cell>
          <cell r="G425"/>
          <cell r="H425"/>
          <cell r="I425">
            <v>30</v>
          </cell>
          <cell r="J425"/>
          <cell r="K425" t="str">
            <v>Conformidade</v>
          </cell>
          <cell r="L425">
            <v>1</v>
          </cell>
          <cell r="M425" t="str">
            <v>Tarja Vermelha</v>
          </cell>
          <cell r="N425" t="str">
            <v>Não</v>
          </cell>
          <cell r="O425" t="str">
            <v>Não</v>
          </cell>
          <cell r="P425" t="str">
            <v>Não</v>
          </cell>
          <cell r="Q425" t="str">
            <v>I</v>
          </cell>
          <cell r="R425"/>
          <cell r="S425" t="str">
            <v>Similar</v>
          </cell>
          <cell r="T425" t="str">
            <v>Monitorado</v>
          </cell>
          <cell r="U425"/>
          <cell r="V425" t="str">
            <v>124750-99-8</v>
          </cell>
          <cell r="W425"/>
          <cell r="X425"/>
          <cell r="Y425" t="str">
            <v>MG</v>
          </cell>
          <cell r="Z425">
            <v>5432</v>
          </cell>
          <cell r="AA425" t="str">
            <v>205 - ANTAGONISTAS DA ANGIOTENSINA II PUROS</v>
          </cell>
          <cell r="AB425" t="str">
            <v>N</v>
          </cell>
          <cell r="AC425" t="str">
            <v>N</v>
          </cell>
          <cell r="AD425"/>
          <cell r="AE425" t="str">
            <v>N</v>
          </cell>
          <cell r="AF425">
            <v>0</v>
          </cell>
          <cell r="AG425">
            <v>59.25</v>
          </cell>
          <cell r="AH425">
            <v>62.82</v>
          </cell>
          <cell r="AI425">
            <v>0</v>
          </cell>
          <cell r="AJ425">
            <v>63.59</v>
          </cell>
          <cell r="AK425">
            <v>64.37</v>
          </cell>
          <cell r="AL425">
            <v>0</v>
          </cell>
          <cell r="AM425">
            <v>62.82</v>
          </cell>
          <cell r="AN425">
            <v>0</v>
          </cell>
          <cell r="AO425">
            <v>81.91</v>
          </cell>
          <cell r="AP425">
            <v>86.84</v>
          </cell>
          <cell r="AQ425">
            <v>0</v>
          </cell>
          <cell r="AR425">
            <v>87.9</v>
          </cell>
          <cell r="AS425">
            <v>88.99</v>
          </cell>
          <cell r="AT425">
            <v>0</v>
          </cell>
          <cell r="AU425">
            <v>86.84</v>
          </cell>
          <cell r="AV425">
            <v>0</v>
          </cell>
          <cell r="AW425">
            <v>59.25</v>
          </cell>
          <cell r="AX425">
            <v>62.82</v>
          </cell>
          <cell r="AY425">
            <v>63.2</v>
          </cell>
          <cell r="AZ425">
            <v>63.59</v>
          </cell>
          <cell r="BA425">
            <v>64.38</v>
          </cell>
          <cell r="BB425">
            <v>64.38</v>
          </cell>
          <cell r="BC425">
            <v>62.82</v>
          </cell>
          <cell r="BD425">
            <v>0</v>
          </cell>
          <cell r="BE425">
            <v>81.91</v>
          </cell>
          <cell r="BF425">
            <v>86.84</v>
          </cell>
          <cell r="BG425">
            <v>87.37</v>
          </cell>
          <cell r="BH425">
            <v>87.91</v>
          </cell>
          <cell r="BI425">
            <v>89</v>
          </cell>
          <cell r="BJ425">
            <v>90.11</v>
          </cell>
          <cell r="BK425">
            <v>86.84</v>
          </cell>
        </row>
        <row r="426">
          <cell r="A426">
            <v>7891721013362</v>
          </cell>
          <cell r="B426">
            <v>1008903230012</v>
          </cell>
          <cell r="C426">
            <v>525418801115410</v>
          </cell>
          <cell r="D426" t="str">
            <v>LOSARTION</v>
          </cell>
          <cell r="E426" t="str">
            <v>50 MG COM REV CT BL AL PLAS INC X 30 </v>
          </cell>
          <cell r="F426" t="str">
            <v>Comprimido revestido</v>
          </cell>
          <cell r="G426"/>
          <cell r="H426"/>
          <cell r="I426">
            <v>30</v>
          </cell>
          <cell r="J426"/>
          <cell r="K426" t="str">
            <v>Conformidade</v>
          </cell>
          <cell r="L426">
            <v>1</v>
          </cell>
          <cell r="M426" t="str">
            <v>Tarja Vermelha</v>
          </cell>
          <cell r="N426" t="str">
            <v>Não</v>
          </cell>
          <cell r="O426" t="str">
            <v>Não</v>
          </cell>
          <cell r="P426" t="str">
            <v>Não</v>
          </cell>
          <cell r="Q426" t="str">
            <v>I</v>
          </cell>
          <cell r="R426"/>
          <cell r="S426" t="str">
            <v>Similar</v>
          </cell>
          <cell r="T426" t="str">
            <v>Monitorado</v>
          </cell>
          <cell r="U426"/>
          <cell r="V426" t="str">
            <v>124750-99-8</v>
          </cell>
          <cell r="W426"/>
          <cell r="X426"/>
          <cell r="Y426" t="str">
            <v>MG</v>
          </cell>
          <cell r="Z426">
            <v>5432</v>
          </cell>
          <cell r="AA426" t="str">
            <v>205 - ANTAGONISTAS DA ANGIOTENSINA II PUROS</v>
          </cell>
          <cell r="AB426" t="str">
            <v>N</v>
          </cell>
          <cell r="AC426" t="str">
            <v>N</v>
          </cell>
          <cell r="AD426">
            <v>0</v>
          </cell>
          <cell r="AE426" t="str">
            <v>N</v>
          </cell>
          <cell r="AF426">
            <v>0</v>
          </cell>
          <cell r="AG426">
            <v>22.09</v>
          </cell>
          <cell r="AH426">
            <v>23.42</v>
          </cell>
          <cell r="AI426">
            <v>0</v>
          </cell>
          <cell r="AJ426">
            <v>23.7</v>
          </cell>
          <cell r="AK426">
            <v>24</v>
          </cell>
          <cell r="AL426">
            <v>0</v>
          </cell>
          <cell r="AM426">
            <v>23.42</v>
          </cell>
          <cell r="AN426">
            <v>0</v>
          </cell>
          <cell r="AO426">
            <v>30.54</v>
          </cell>
          <cell r="AP426">
            <v>32.380000000000003</v>
          </cell>
          <cell r="AQ426">
            <v>0</v>
          </cell>
          <cell r="AR426">
            <v>32.770000000000003</v>
          </cell>
          <cell r="AS426">
            <v>33.18</v>
          </cell>
          <cell r="AT426">
            <v>0</v>
          </cell>
          <cell r="AU426">
            <v>32.380000000000003</v>
          </cell>
          <cell r="AV426">
            <v>0</v>
          </cell>
          <cell r="AW426">
            <v>23.14</v>
          </cell>
          <cell r="AX426">
            <v>24.53</v>
          </cell>
          <cell r="AY426">
            <v>24.68</v>
          </cell>
          <cell r="AZ426">
            <v>24.83</v>
          </cell>
          <cell r="BA426">
            <v>25.13</v>
          </cell>
          <cell r="BB426">
            <v>25.13</v>
          </cell>
          <cell r="BC426">
            <v>24.53</v>
          </cell>
          <cell r="BD426">
            <v>0</v>
          </cell>
          <cell r="BE426">
            <v>31.99</v>
          </cell>
          <cell r="BF426">
            <v>33.909999999999997</v>
          </cell>
          <cell r="BG426">
            <v>34.119999999999997</v>
          </cell>
          <cell r="BH426">
            <v>34.32</v>
          </cell>
          <cell r="BI426">
            <v>34.74</v>
          </cell>
          <cell r="BJ426">
            <v>35.18</v>
          </cell>
          <cell r="BK426">
            <v>33.909999999999997</v>
          </cell>
        </row>
        <row r="427">
          <cell r="A427"/>
          <cell r="B427"/>
          <cell r="C427"/>
          <cell r="D427"/>
          <cell r="E427"/>
          <cell r="F427"/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  <cell r="AQ427"/>
          <cell r="AR427"/>
          <cell r="AS427"/>
          <cell r="AT427"/>
          <cell r="AU427"/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/>
          <cell r="BG427"/>
          <cell r="BH427"/>
          <cell r="BI427"/>
          <cell r="BJ427"/>
          <cell r="BK427"/>
        </row>
        <row r="428">
          <cell r="A428">
            <v>7891721021190</v>
          </cell>
          <cell r="B428">
            <v>1008903230039</v>
          </cell>
          <cell r="C428">
            <v>525418802111419</v>
          </cell>
          <cell r="D428" t="str">
            <v>LOSARTION</v>
          </cell>
          <cell r="E428" t="str">
            <v>50 MG COM REV EST CART BL AL PLAS INC X 10</v>
          </cell>
          <cell r="F428" t="str">
            <v>Comprimido revestido</v>
          </cell>
          <cell r="G428"/>
          <cell r="H428"/>
          <cell r="I428">
            <v>10</v>
          </cell>
          <cell r="J428"/>
          <cell r="K428" t="str">
            <v>Conformidade</v>
          </cell>
          <cell r="L428">
            <v>1</v>
          </cell>
          <cell r="M428" t="str">
            <v>Tarja Vermelha</v>
          </cell>
          <cell r="N428" t="str">
            <v>Não</v>
          </cell>
          <cell r="O428" t="str">
            <v>Não</v>
          </cell>
          <cell r="P428" t="str">
            <v>Não</v>
          </cell>
          <cell r="Q428" t="str">
            <v>I</v>
          </cell>
          <cell r="R428"/>
          <cell r="S428" t="str">
            <v>Similar</v>
          </cell>
          <cell r="T428" t="str">
            <v>Monitorado</v>
          </cell>
          <cell r="U428"/>
          <cell r="V428" t="str">
            <v>124750-99-8</v>
          </cell>
          <cell r="W428"/>
          <cell r="X428"/>
          <cell r="Y428" t="str">
            <v>MG</v>
          </cell>
          <cell r="Z428">
            <v>5432</v>
          </cell>
          <cell r="AA428" t="str">
            <v>205 - ANTAGONISTAS DA ANGIOTENSINA II PUROS</v>
          </cell>
          <cell r="AB428" t="str">
            <v>N</v>
          </cell>
          <cell r="AC428" t="str">
            <v>N</v>
          </cell>
          <cell r="AD428">
            <v>0</v>
          </cell>
          <cell r="AE428" t="str">
            <v>N</v>
          </cell>
          <cell r="AF428">
            <v>0</v>
          </cell>
          <cell r="AG428">
            <v>7.36</v>
          </cell>
          <cell r="AH428">
            <v>7.8</v>
          </cell>
          <cell r="AI428">
            <v>0</v>
          </cell>
          <cell r="AJ428">
            <v>7.9</v>
          </cell>
          <cell r="AK428">
            <v>8</v>
          </cell>
          <cell r="AL428">
            <v>0</v>
          </cell>
          <cell r="AM428">
            <v>7.8</v>
          </cell>
          <cell r="AN428">
            <v>0</v>
          </cell>
          <cell r="AO428">
            <v>10.17</v>
          </cell>
          <cell r="AP428">
            <v>10.78</v>
          </cell>
          <cell r="AQ428">
            <v>0</v>
          </cell>
          <cell r="AR428">
            <v>10.92</v>
          </cell>
          <cell r="AS428">
            <v>11.06</v>
          </cell>
          <cell r="AT428">
            <v>0</v>
          </cell>
          <cell r="AU428">
            <v>10.78</v>
          </cell>
          <cell r="AV428">
            <v>0</v>
          </cell>
          <cell r="AW428">
            <v>7.71</v>
          </cell>
          <cell r="AX428">
            <v>8.18</v>
          </cell>
          <cell r="AY428">
            <v>8.23</v>
          </cell>
          <cell r="AZ428">
            <v>8.2799999999999994</v>
          </cell>
          <cell r="BA428">
            <v>8.3800000000000008</v>
          </cell>
          <cell r="BB428">
            <v>8.3800000000000008</v>
          </cell>
          <cell r="BC428">
            <v>8.18</v>
          </cell>
          <cell r="BD428">
            <v>0</v>
          </cell>
          <cell r="BE428">
            <v>10.66</v>
          </cell>
          <cell r="BF428">
            <v>11.31</v>
          </cell>
          <cell r="BG428">
            <v>11.38</v>
          </cell>
          <cell r="BH428">
            <v>11.44</v>
          </cell>
          <cell r="BI428">
            <v>11.58</v>
          </cell>
          <cell r="BJ428">
            <v>11.72</v>
          </cell>
          <cell r="BK428">
            <v>11.31</v>
          </cell>
        </row>
        <row r="429">
          <cell r="A429">
            <v>7891721021121</v>
          </cell>
          <cell r="B429">
            <v>1008902820010</v>
          </cell>
          <cell r="C429">
            <v>525406102111412</v>
          </cell>
          <cell r="D429" t="str">
            <v>LUTENIL</v>
          </cell>
          <cell r="E429" t="str">
            <v>5 MG COM CT CART BL AL PLAS INC X 10</v>
          </cell>
          <cell r="F429" t="str">
            <v>Comprimido</v>
          </cell>
          <cell r="G429"/>
          <cell r="H429"/>
          <cell r="I429">
            <v>10</v>
          </cell>
          <cell r="J429"/>
          <cell r="K429" t="str">
            <v>Conformidade</v>
          </cell>
          <cell r="L429">
            <v>3</v>
          </cell>
          <cell r="M429" t="str">
            <v>Tarja Vermelha</v>
          </cell>
          <cell r="N429" t="str">
            <v>Não</v>
          </cell>
          <cell r="O429" t="str">
            <v>Não</v>
          </cell>
          <cell r="P429" t="str">
            <v>Não</v>
          </cell>
          <cell r="Q429" t="str">
            <v>I</v>
          </cell>
          <cell r="R429"/>
          <cell r="S429" t="str">
            <v>Similar</v>
          </cell>
          <cell r="T429" t="str">
            <v>Monitorado</v>
          </cell>
          <cell r="U429"/>
          <cell r="V429" t="str">
            <v>58652-20-3</v>
          </cell>
          <cell r="W429"/>
          <cell r="X429"/>
          <cell r="Y429" t="str">
            <v>MG</v>
          </cell>
          <cell r="Z429">
            <v>6460</v>
          </cell>
          <cell r="AA429" t="str">
            <v>267 - PROGESTÓGENOS EXCLUINDO G3A, G3F</v>
          </cell>
          <cell r="AB429" t="str">
            <v>N</v>
          </cell>
          <cell r="AC429" t="str">
            <v>N</v>
          </cell>
          <cell r="AD429">
            <v>0</v>
          </cell>
          <cell r="AE429" t="str">
            <v>N</v>
          </cell>
          <cell r="AF429">
            <v>0</v>
          </cell>
          <cell r="AG429">
            <v>30.15</v>
          </cell>
          <cell r="AH429">
            <v>31.97</v>
          </cell>
          <cell r="AI429">
            <v>0</v>
          </cell>
          <cell r="AJ429">
            <v>32.36</v>
          </cell>
          <cell r="AK429">
            <v>32.76</v>
          </cell>
          <cell r="AL429">
            <v>0</v>
          </cell>
          <cell r="AM429">
            <v>31.97</v>
          </cell>
          <cell r="AN429">
            <v>0</v>
          </cell>
          <cell r="AO429">
            <v>41.68</v>
          </cell>
          <cell r="AP429">
            <v>44.2</v>
          </cell>
          <cell r="AQ429">
            <v>0</v>
          </cell>
          <cell r="AR429">
            <v>44.74</v>
          </cell>
          <cell r="AS429">
            <v>45.29</v>
          </cell>
          <cell r="AT429">
            <v>0</v>
          </cell>
          <cell r="AU429">
            <v>44.2</v>
          </cell>
          <cell r="AV429">
            <v>0</v>
          </cell>
          <cell r="AW429">
            <v>30.15</v>
          </cell>
          <cell r="AX429">
            <v>31.97</v>
          </cell>
          <cell r="AY429">
            <v>32.159999999999997</v>
          </cell>
          <cell r="AZ429">
            <v>32.36</v>
          </cell>
          <cell r="BA429">
            <v>32.76</v>
          </cell>
          <cell r="BB429">
            <v>32.76</v>
          </cell>
          <cell r="BC429">
            <v>31.97</v>
          </cell>
          <cell r="BD429">
            <v>0</v>
          </cell>
          <cell r="BE429">
            <v>41.68</v>
          </cell>
          <cell r="BF429">
            <v>44.2</v>
          </cell>
          <cell r="BG429">
            <v>44.46</v>
          </cell>
          <cell r="BH429">
            <v>44.74</v>
          </cell>
          <cell r="BI429">
            <v>45.29</v>
          </cell>
          <cell r="BJ429">
            <v>45.86</v>
          </cell>
          <cell r="BK429">
            <v>44.2</v>
          </cell>
        </row>
        <row r="430">
          <cell r="A430">
            <v>7891721023606</v>
          </cell>
          <cell r="B430">
            <v>1008903540011</v>
          </cell>
          <cell r="C430">
            <v>525421001159413</v>
          </cell>
          <cell r="D430" t="str">
            <v>LUVERIS</v>
          </cell>
          <cell r="E430" t="str">
            <v>75 UI PO LIOF INJ CT 1 FA VD INC + 1 FA DIL </v>
          </cell>
          <cell r="F430" t="str">
            <v>PÓ LIOFILIZADO INJETÁVEL</v>
          </cell>
          <cell r="G430">
            <v>1</v>
          </cell>
          <cell r="H430" t="str">
            <v>FRASCO-AMPOLA</v>
          </cell>
          <cell r="I430"/>
          <cell r="J430"/>
          <cell r="K430" t="str">
            <v>Conformidade</v>
          </cell>
          <cell r="L430">
            <v>3</v>
          </cell>
          <cell r="M430" t="str">
            <v>Tarja Vermelha</v>
          </cell>
          <cell r="N430" t="str">
            <v>Não</v>
          </cell>
          <cell r="O430" t="str">
            <v>Não</v>
          </cell>
          <cell r="P430" t="str">
            <v>Não</v>
          </cell>
          <cell r="Q430" t="str">
            <v>I</v>
          </cell>
          <cell r="R430"/>
          <cell r="S430" t="str">
            <v>Similar</v>
          </cell>
          <cell r="T430" t="str">
            <v>Monitorado</v>
          </cell>
          <cell r="U430"/>
          <cell r="V430" t="str">
            <v>152923-57-4</v>
          </cell>
          <cell r="W430"/>
          <cell r="X430"/>
          <cell r="Y430" t="str">
            <v>UI</v>
          </cell>
          <cell r="Z430">
            <v>517</v>
          </cell>
          <cell r="AA430" t="str">
            <v>270 - GONADOTROFINAS INCLUINDO OUTROS ESTIMULANTES PARA OVULAÇÃO</v>
          </cell>
          <cell r="AB430" t="str">
            <v>N</v>
          </cell>
          <cell r="AC430" t="str">
            <v>N</v>
          </cell>
          <cell r="AD430">
            <v>0</v>
          </cell>
          <cell r="AE430" t="str">
            <v>N</v>
          </cell>
          <cell r="AF430">
            <v>0</v>
          </cell>
          <cell r="AG430">
            <v>118.56</v>
          </cell>
          <cell r="AH430">
            <v>125.71</v>
          </cell>
          <cell r="AI430">
            <v>0</v>
          </cell>
          <cell r="AJ430">
            <v>127.24</v>
          </cell>
          <cell r="AK430">
            <v>128.81</v>
          </cell>
          <cell r="AL430">
            <v>0</v>
          </cell>
          <cell r="AM430">
            <v>125.71</v>
          </cell>
          <cell r="AN430">
            <v>0</v>
          </cell>
          <cell r="AO430">
            <v>163.9</v>
          </cell>
          <cell r="AP430">
            <v>173.79</v>
          </cell>
          <cell r="AQ430">
            <v>0</v>
          </cell>
          <cell r="AR430">
            <v>175.9</v>
          </cell>
          <cell r="AS430">
            <v>178.07</v>
          </cell>
          <cell r="AT430">
            <v>0</v>
          </cell>
          <cell r="AU430">
            <v>173.79</v>
          </cell>
          <cell r="AV430">
            <v>0</v>
          </cell>
          <cell r="AW430">
            <v>120.18</v>
          </cell>
          <cell r="AX430">
            <v>127.42</v>
          </cell>
          <cell r="AY430">
            <v>128.19</v>
          </cell>
          <cell r="AZ430">
            <v>128.97</v>
          </cell>
          <cell r="BA430">
            <v>130.56</v>
          </cell>
          <cell r="BB430">
            <v>130.56</v>
          </cell>
          <cell r="BC430">
            <v>127.42</v>
          </cell>
          <cell r="BD430">
            <v>0</v>
          </cell>
          <cell r="BE430">
            <v>166.14</v>
          </cell>
          <cell r="BF430">
            <v>176.15</v>
          </cell>
          <cell r="BG430">
            <v>177.22</v>
          </cell>
          <cell r="BH430">
            <v>178.29</v>
          </cell>
          <cell r="BI430">
            <v>180.49</v>
          </cell>
          <cell r="BJ430">
            <v>182.74</v>
          </cell>
          <cell r="BK430">
            <v>176.15</v>
          </cell>
        </row>
        <row r="431">
          <cell r="A431"/>
          <cell r="B431"/>
          <cell r="C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  <cell r="AM431"/>
          <cell r="AN431"/>
          <cell r="AO431"/>
          <cell r="AP431"/>
          <cell r="AQ431"/>
          <cell r="AR431"/>
          <cell r="AS431"/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/>
          <cell r="BG431"/>
          <cell r="BH431"/>
          <cell r="BI431"/>
          <cell r="BJ431"/>
          <cell r="BK431"/>
        </row>
        <row r="432">
          <cell r="A432"/>
          <cell r="B432"/>
          <cell r="C432"/>
          <cell r="D432"/>
          <cell r="E432"/>
          <cell r="F432"/>
          <cell r="G432"/>
          <cell r="H432"/>
          <cell r="I432"/>
          <cell r="J432"/>
          <cell r="K432"/>
          <cell r="L432"/>
          <cell r="M432"/>
          <cell r="N432"/>
          <cell r="O432"/>
          <cell r="P432"/>
          <cell r="Q432"/>
          <cell r="R432"/>
          <cell r="S432"/>
          <cell r="T432"/>
          <cell r="U432"/>
          <cell r="V432"/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  <cell r="AM432"/>
          <cell r="AN432"/>
          <cell r="AO432"/>
          <cell r="AP432"/>
          <cell r="AQ432"/>
          <cell r="AR432"/>
          <cell r="AS432"/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/>
          <cell r="BG432"/>
          <cell r="BH432"/>
          <cell r="BI432"/>
          <cell r="BJ432"/>
          <cell r="BK432"/>
        </row>
        <row r="433">
          <cell r="A433">
            <v>7891721238413</v>
          </cell>
          <cell r="B433">
            <v>1008903030013</v>
          </cell>
          <cell r="C433">
            <v>525417501134111</v>
          </cell>
          <cell r="D433" t="str">
            <v>MALEATO DE DEXCLORFENIRAMINA</v>
          </cell>
          <cell r="E433" t="str">
            <v>0,4 MG/ML SOL OR CT FR VD AMB X 120 ML + CP MED 10 ML </v>
          </cell>
          <cell r="F433" t="str">
            <v>SOLUÇÃO ORAL</v>
          </cell>
          <cell r="G433">
            <v>1</v>
          </cell>
          <cell r="H433" t="str">
            <v>FRASCO</v>
          </cell>
          <cell r="I433">
            <v>120</v>
          </cell>
          <cell r="J433" t="str">
            <v>ML</v>
          </cell>
          <cell r="K433" t="str">
            <v>Conformidade</v>
          </cell>
          <cell r="L433">
            <v>1</v>
          </cell>
          <cell r="M433" t="str">
            <v>Tarja Vermelha</v>
          </cell>
          <cell r="N433" t="str">
            <v>Não</v>
          </cell>
          <cell r="O433" t="str">
            <v>Não</v>
          </cell>
          <cell r="P433" t="str">
            <v>Não</v>
          </cell>
          <cell r="Q433" t="str">
            <v>N</v>
          </cell>
          <cell r="R433"/>
          <cell r="S433" t="str">
            <v>Genérico</v>
          </cell>
          <cell r="T433" t="str">
            <v>Monitorado</v>
          </cell>
          <cell r="U433"/>
          <cell r="V433" t="str">
            <v>2438-32-6</v>
          </cell>
          <cell r="W433"/>
          <cell r="X433"/>
          <cell r="Y433" t="str">
            <v>MG/ML</v>
          </cell>
          <cell r="Z433">
            <v>2839</v>
          </cell>
          <cell r="AA433" t="str">
            <v>565 - ANTI-HISTAMÍNICOS SISTÊMICOS</v>
          </cell>
          <cell r="AB433" t="str">
            <v>N</v>
          </cell>
          <cell r="AC433" t="str">
            <v>N</v>
          </cell>
          <cell r="AD433">
            <v>0</v>
          </cell>
          <cell r="AE433" t="str">
            <v>N</v>
          </cell>
          <cell r="AF433">
            <v>0</v>
          </cell>
          <cell r="AG433">
            <v>8.5</v>
          </cell>
          <cell r="AH433">
            <v>9.09</v>
          </cell>
          <cell r="AI433">
            <v>0</v>
          </cell>
          <cell r="AJ433">
            <v>9.2200000000000006</v>
          </cell>
          <cell r="AK433">
            <v>9.35</v>
          </cell>
          <cell r="AL433">
            <v>0</v>
          </cell>
          <cell r="AM433">
            <v>7.91</v>
          </cell>
          <cell r="AN433">
            <v>0</v>
          </cell>
          <cell r="AO433">
            <v>11.35</v>
          </cell>
          <cell r="AP433">
            <v>12.12</v>
          </cell>
          <cell r="AQ433">
            <v>0</v>
          </cell>
          <cell r="AR433">
            <v>12.28</v>
          </cell>
          <cell r="AS433">
            <v>12.45</v>
          </cell>
          <cell r="AT433">
            <v>0</v>
          </cell>
          <cell r="AU433">
            <v>10.94</v>
          </cell>
          <cell r="AV433">
            <v>0</v>
          </cell>
          <cell r="AW433">
            <v>8.5</v>
          </cell>
          <cell r="AX433">
            <v>9.09</v>
          </cell>
          <cell r="AY433">
            <v>9.16</v>
          </cell>
          <cell r="AZ433">
            <v>9.2200000000000006</v>
          </cell>
          <cell r="BA433">
            <v>9.35</v>
          </cell>
          <cell r="BB433">
            <v>9.35</v>
          </cell>
          <cell r="BC433">
            <v>7.91</v>
          </cell>
          <cell r="BD433">
            <v>0</v>
          </cell>
          <cell r="BE433">
            <v>11.35</v>
          </cell>
          <cell r="BF433">
            <v>12.12</v>
          </cell>
          <cell r="BG433">
            <v>12.21</v>
          </cell>
          <cell r="BH433">
            <v>12.28</v>
          </cell>
          <cell r="BI433">
            <v>12.45</v>
          </cell>
          <cell r="BJ433">
            <v>12.63</v>
          </cell>
          <cell r="BK433">
            <v>10.94</v>
          </cell>
        </row>
        <row r="434">
          <cell r="A434">
            <v>7891721238420</v>
          </cell>
          <cell r="B434">
            <v>1008903040019</v>
          </cell>
          <cell r="C434">
            <v>525417801138110</v>
          </cell>
          <cell r="D434" t="str">
            <v>MALEATO DE DEXCLORFENIRAMINA + BETAMETASONA</v>
          </cell>
          <cell r="E434" t="str">
            <v>0,4 MG/ML + 0,05 MG/ML XPE CT FR VD AMB X 120 ML + CP MED</v>
          </cell>
          <cell r="F434" t="str">
            <v>Xarope</v>
          </cell>
          <cell r="G434">
            <v>1</v>
          </cell>
          <cell r="H434" t="str">
            <v>FRASCO</v>
          </cell>
          <cell r="I434">
            <v>120</v>
          </cell>
          <cell r="J434" t="str">
            <v>ML</v>
          </cell>
          <cell r="K434" t="str">
            <v>Conformidade</v>
          </cell>
          <cell r="L434">
            <v>2</v>
          </cell>
          <cell r="M434" t="str">
            <v>Tarja Vermelha</v>
          </cell>
          <cell r="N434" t="str">
            <v>Não</v>
          </cell>
          <cell r="O434" t="str">
            <v>Não</v>
          </cell>
          <cell r="P434" t="str">
            <v>Não</v>
          </cell>
          <cell r="Q434" t="str">
            <v>N</v>
          </cell>
          <cell r="R434"/>
          <cell r="S434" t="str">
            <v>Genérico</v>
          </cell>
          <cell r="T434" t="str">
            <v>Monitorado</v>
          </cell>
          <cell r="U434"/>
          <cell r="V434" t="str">
            <v>378-44-9,2438-32-6</v>
          </cell>
          <cell r="W434"/>
          <cell r="X434"/>
          <cell r="Y434" t="str">
            <v>MG/ML</v>
          </cell>
          <cell r="Z434">
            <v>1213.0283899999999</v>
          </cell>
          <cell r="AA434" t="str">
            <v>296 - ASSOCIAÇÕES DE CORTICOSTERÓIDES SISTÊMICOS</v>
          </cell>
          <cell r="AB434" t="str">
            <v>N</v>
          </cell>
          <cell r="AC434" t="str">
            <v>N</v>
          </cell>
          <cell r="AD434">
            <v>0</v>
          </cell>
          <cell r="AE434" t="str">
            <v>N</v>
          </cell>
          <cell r="AF434">
            <v>0</v>
          </cell>
          <cell r="AG434">
            <v>18.18</v>
          </cell>
          <cell r="AH434">
            <v>19.440000000000001</v>
          </cell>
          <cell r="AI434">
            <v>0</v>
          </cell>
          <cell r="AJ434">
            <v>19.71</v>
          </cell>
          <cell r="AK434">
            <v>19.989999999999998</v>
          </cell>
          <cell r="AL434">
            <v>0</v>
          </cell>
          <cell r="AM434">
            <v>16.920000000000002</v>
          </cell>
          <cell r="AN434">
            <v>0</v>
          </cell>
          <cell r="AO434">
            <v>24.28</v>
          </cell>
          <cell r="AP434">
            <v>25.91</v>
          </cell>
          <cell r="AQ434">
            <v>0</v>
          </cell>
          <cell r="AR434">
            <v>26.26</v>
          </cell>
          <cell r="AS434">
            <v>26.62</v>
          </cell>
          <cell r="AT434">
            <v>0</v>
          </cell>
          <cell r="AU434">
            <v>23.39</v>
          </cell>
          <cell r="AV434">
            <v>0</v>
          </cell>
          <cell r="AW434">
            <v>18.18</v>
          </cell>
          <cell r="AX434">
            <v>19.440000000000001</v>
          </cell>
          <cell r="AY434">
            <v>19.57</v>
          </cell>
          <cell r="AZ434">
            <v>19.71</v>
          </cell>
          <cell r="BA434">
            <v>19.989999999999998</v>
          </cell>
          <cell r="BB434">
            <v>19.989999999999998</v>
          </cell>
          <cell r="BC434">
            <v>16.920000000000002</v>
          </cell>
          <cell r="BD434">
            <v>0</v>
          </cell>
          <cell r="BE434">
            <v>24.28</v>
          </cell>
          <cell r="BF434">
            <v>25.91</v>
          </cell>
          <cell r="BG434">
            <v>26.08</v>
          </cell>
          <cell r="BH434">
            <v>26.26</v>
          </cell>
          <cell r="BI434">
            <v>26.62</v>
          </cell>
          <cell r="BJ434">
            <v>26.99</v>
          </cell>
          <cell r="BK434">
            <v>23.39</v>
          </cell>
        </row>
        <row r="435">
          <cell r="A435">
            <v>7891721238086</v>
          </cell>
          <cell r="B435">
            <v>1008902920031</v>
          </cell>
          <cell r="C435">
            <v>525406201118113</v>
          </cell>
          <cell r="D435" t="str">
            <v>MELOXICAM</v>
          </cell>
          <cell r="E435" t="str">
            <v>15 MG COM CT BL AL PLAS INC X 10</v>
          </cell>
          <cell r="F435" t="str">
            <v>Comprimido</v>
          </cell>
          <cell r="G435"/>
          <cell r="H435"/>
          <cell r="I435">
            <v>10</v>
          </cell>
          <cell r="J435"/>
          <cell r="K435" t="str">
            <v>Conformidade</v>
          </cell>
          <cell r="L435">
            <v>1</v>
          </cell>
          <cell r="M435" t="str">
            <v>Tarja Vermelha</v>
          </cell>
          <cell r="N435" t="str">
            <v>Não</v>
          </cell>
          <cell r="O435" t="str">
            <v>Não</v>
          </cell>
          <cell r="P435" t="str">
            <v>Não</v>
          </cell>
          <cell r="Q435" t="str">
            <v>I</v>
          </cell>
          <cell r="R435"/>
          <cell r="S435" t="str">
            <v>Genérico</v>
          </cell>
          <cell r="T435" t="str">
            <v>Monitorado</v>
          </cell>
          <cell r="U435"/>
          <cell r="V435" t="str">
            <v>71125-38-7</v>
          </cell>
          <cell r="W435"/>
          <cell r="X435"/>
          <cell r="Y435" t="str">
            <v>MG</v>
          </cell>
          <cell r="Z435">
            <v>5619</v>
          </cell>
          <cell r="AA435" t="str">
            <v>466 - ANTI-REUMÁTICOS NÃO ESTEROIDAIS PUROS</v>
          </cell>
          <cell r="AB435" t="str">
            <v>N</v>
          </cell>
          <cell r="AC435" t="str">
            <v>N</v>
          </cell>
          <cell r="AD435">
            <v>0</v>
          </cell>
          <cell r="AE435" t="str">
            <v>N</v>
          </cell>
          <cell r="AF435">
            <v>0</v>
          </cell>
          <cell r="AG435">
            <v>23.35</v>
          </cell>
          <cell r="AH435">
            <v>24.75</v>
          </cell>
          <cell r="AI435">
            <v>0</v>
          </cell>
          <cell r="AJ435">
            <v>25.05</v>
          </cell>
          <cell r="AK435">
            <v>25.36</v>
          </cell>
          <cell r="AL435">
            <v>0</v>
          </cell>
          <cell r="AM435">
            <v>24.75</v>
          </cell>
          <cell r="AN435">
            <v>0</v>
          </cell>
          <cell r="AO435">
            <v>32.28</v>
          </cell>
          <cell r="AP435">
            <v>34.22</v>
          </cell>
          <cell r="AQ435">
            <v>0</v>
          </cell>
          <cell r="AR435">
            <v>34.64</v>
          </cell>
          <cell r="AS435">
            <v>35.06</v>
          </cell>
          <cell r="AT435">
            <v>0</v>
          </cell>
          <cell r="AU435">
            <v>34.22</v>
          </cell>
          <cell r="AV435">
            <v>0</v>
          </cell>
          <cell r="AW435">
            <v>24.45</v>
          </cell>
          <cell r="AX435">
            <v>25.93</v>
          </cell>
          <cell r="AY435">
            <v>26.08</v>
          </cell>
          <cell r="AZ435">
            <v>26.24</v>
          </cell>
          <cell r="BA435">
            <v>26.57</v>
          </cell>
          <cell r="BB435">
            <v>26.57</v>
          </cell>
          <cell r="BC435">
            <v>25.93</v>
          </cell>
          <cell r="BD435">
            <v>0</v>
          </cell>
          <cell r="BE435">
            <v>33.799999999999997</v>
          </cell>
          <cell r="BF435">
            <v>35.85</v>
          </cell>
          <cell r="BG435">
            <v>36.049999999999997</v>
          </cell>
          <cell r="BH435">
            <v>36.28</v>
          </cell>
          <cell r="BI435">
            <v>36.729999999999997</v>
          </cell>
          <cell r="BJ435">
            <v>37.19</v>
          </cell>
          <cell r="BK435">
            <v>35.85</v>
          </cell>
        </row>
        <row r="436">
          <cell r="A436"/>
          <cell r="B436"/>
          <cell r="C436"/>
          <cell r="D436"/>
          <cell r="E436"/>
          <cell r="F436"/>
          <cell r="G436"/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  <cell r="AQ436"/>
          <cell r="AR436"/>
          <cell r="AS436"/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/>
          <cell r="BG436"/>
          <cell r="BH436"/>
          <cell r="BI436"/>
          <cell r="BJ436"/>
          <cell r="BK436"/>
        </row>
        <row r="437">
          <cell r="A437">
            <v>7891721238079</v>
          </cell>
          <cell r="B437">
            <v>1008902920015</v>
          </cell>
          <cell r="C437">
            <v>525406202114111</v>
          </cell>
          <cell r="D437" t="str">
            <v>MELOXICAM</v>
          </cell>
          <cell r="E437" t="str">
            <v>7,5 MG COM CT BL AL PLAS INC X 10</v>
          </cell>
          <cell r="F437" t="str">
            <v>Comprimido</v>
          </cell>
          <cell r="G437"/>
          <cell r="H437"/>
          <cell r="I437">
            <v>10</v>
          </cell>
          <cell r="J437"/>
          <cell r="K437" t="str">
            <v>Conformidade</v>
          </cell>
          <cell r="L437">
            <v>1</v>
          </cell>
          <cell r="M437" t="str">
            <v>Tarja Vermelha</v>
          </cell>
          <cell r="N437" t="str">
            <v>Não</v>
          </cell>
          <cell r="O437" t="str">
            <v>Não</v>
          </cell>
          <cell r="P437" t="str">
            <v>Não</v>
          </cell>
          <cell r="Q437" t="str">
            <v>I</v>
          </cell>
          <cell r="R437"/>
          <cell r="S437" t="str">
            <v>Genérico</v>
          </cell>
          <cell r="T437" t="str">
            <v>Monitorado</v>
          </cell>
          <cell r="U437"/>
          <cell r="V437" t="str">
            <v>71125-38-7</v>
          </cell>
          <cell r="W437"/>
          <cell r="X437"/>
          <cell r="Y437" t="str">
            <v>MG</v>
          </cell>
          <cell r="Z437">
            <v>5619</v>
          </cell>
          <cell r="AA437" t="str">
            <v>466 - ANTI-REUMÁTICOS NÃO ESTEROIDAIS PUROS</v>
          </cell>
          <cell r="AB437" t="str">
            <v>N</v>
          </cell>
          <cell r="AC437" t="str">
            <v>N</v>
          </cell>
          <cell r="AD437">
            <v>0</v>
          </cell>
          <cell r="AE437" t="str">
            <v>N</v>
          </cell>
          <cell r="AF437">
            <v>0</v>
          </cell>
          <cell r="AG437">
            <v>12.45</v>
          </cell>
          <cell r="AH437">
            <v>13.2</v>
          </cell>
          <cell r="AI437">
            <v>0</v>
          </cell>
          <cell r="AJ437">
            <v>13.37</v>
          </cell>
          <cell r="AK437">
            <v>13.53</v>
          </cell>
          <cell r="AL437">
            <v>0</v>
          </cell>
          <cell r="AM437">
            <v>13.2</v>
          </cell>
          <cell r="AN437">
            <v>0</v>
          </cell>
          <cell r="AO437">
            <v>17.21</v>
          </cell>
          <cell r="AP437">
            <v>18.25</v>
          </cell>
          <cell r="AQ437">
            <v>0</v>
          </cell>
          <cell r="AR437">
            <v>18.48</v>
          </cell>
          <cell r="AS437">
            <v>18.7</v>
          </cell>
          <cell r="AT437">
            <v>0</v>
          </cell>
          <cell r="AU437">
            <v>18.25</v>
          </cell>
          <cell r="AV437">
            <v>0</v>
          </cell>
          <cell r="AW437">
            <v>13.05</v>
          </cell>
          <cell r="AX437">
            <v>13.84</v>
          </cell>
          <cell r="AY437">
            <v>13.92</v>
          </cell>
          <cell r="AZ437">
            <v>14.01</v>
          </cell>
          <cell r="BA437">
            <v>14.18</v>
          </cell>
          <cell r="BB437">
            <v>14.18</v>
          </cell>
          <cell r="BC437">
            <v>13.84</v>
          </cell>
          <cell r="BD437">
            <v>0</v>
          </cell>
          <cell r="BE437">
            <v>18.04</v>
          </cell>
          <cell r="BF437">
            <v>19.13</v>
          </cell>
          <cell r="BG437">
            <v>19.239999999999998</v>
          </cell>
          <cell r="BH437">
            <v>19.36</v>
          </cell>
          <cell r="BI437">
            <v>19.600000000000001</v>
          </cell>
          <cell r="BJ437">
            <v>19.850000000000001</v>
          </cell>
          <cell r="BK437">
            <v>19.13</v>
          </cell>
        </row>
        <row r="438">
          <cell r="A438"/>
          <cell r="B438"/>
          <cell r="C438"/>
          <cell r="D438"/>
          <cell r="E438"/>
          <cell r="F438"/>
          <cell r="G438"/>
          <cell r="H438"/>
          <cell r="I438"/>
          <cell r="J438"/>
          <cell r="K438"/>
          <cell r="L438"/>
          <cell r="M438"/>
          <cell r="N438"/>
          <cell r="O438"/>
          <cell r="P438"/>
          <cell r="Q438"/>
          <cell r="R438"/>
          <cell r="S438"/>
          <cell r="T438"/>
          <cell r="U438"/>
          <cell r="V438"/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  <cell r="AM438"/>
          <cell r="AN438"/>
          <cell r="AO438"/>
          <cell r="AP438"/>
          <cell r="AQ438"/>
          <cell r="AR438"/>
          <cell r="AS438"/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/>
          <cell r="BG438"/>
          <cell r="BH438"/>
          <cell r="BI438"/>
          <cell r="BJ438"/>
          <cell r="BK438"/>
        </row>
        <row r="439">
          <cell r="A439">
            <v>7891721016752</v>
          </cell>
          <cell r="B439">
            <v>1008903470064</v>
          </cell>
          <cell r="C439">
            <v>525419903116414</v>
          </cell>
          <cell r="D439" t="str">
            <v>MESIDOX</v>
          </cell>
          <cell r="E439" t="str">
            <v>2 MG COM FR PLAS OPC X 20</v>
          </cell>
          <cell r="F439" t="str">
            <v>Comprimido</v>
          </cell>
          <cell r="G439"/>
          <cell r="H439"/>
          <cell r="I439">
            <v>20</v>
          </cell>
          <cell r="J439"/>
          <cell r="K439" t="str">
            <v>Conformidade</v>
          </cell>
          <cell r="L439">
            <v>2</v>
          </cell>
          <cell r="M439" t="str">
            <v>Tarja Vermelha</v>
          </cell>
          <cell r="N439" t="str">
            <v>Não</v>
          </cell>
          <cell r="O439" t="str">
            <v>Não</v>
          </cell>
          <cell r="P439" t="str">
            <v>Não</v>
          </cell>
          <cell r="Q439" t="str">
            <v>I</v>
          </cell>
          <cell r="R439"/>
          <cell r="S439" t="str">
            <v>Similar</v>
          </cell>
          <cell r="T439" t="str">
            <v>Monitorado</v>
          </cell>
          <cell r="U439"/>
          <cell r="V439" t="str">
            <v>77883-43-3</v>
          </cell>
          <cell r="W439"/>
          <cell r="X439"/>
          <cell r="Y439" t="str">
            <v>MG</v>
          </cell>
          <cell r="Z439">
            <v>3210</v>
          </cell>
          <cell r="AA439" t="str">
            <v>169 - ANTI-HIPERTENSIVOS PURO-AÇÃO PERIFÉRICA</v>
          </cell>
          <cell r="AB439" t="str">
            <v>N</v>
          </cell>
          <cell r="AC439" t="str">
            <v>N</v>
          </cell>
          <cell r="AD439">
            <v>0</v>
          </cell>
          <cell r="AE439" t="str">
            <v>N</v>
          </cell>
          <cell r="AF439">
            <v>0</v>
          </cell>
          <cell r="AG439">
            <v>38.32</v>
          </cell>
          <cell r="AH439">
            <v>40.630000000000003</v>
          </cell>
          <cell r="AI439">
            <v>0</v>
          </cell>
          <cell r="AJ439">
            <v>41.12</v>
          </cell>
          <cell r="AK439">
            <v>41.63</v>
          </cell>
          <cell r="AL439">
            <v>0</v>
          </cell>
          <cell r="AM439">
            <v>40.630000000000003</v>
          </cell>
          <cell r="AN439">
            <v>0</v>
          </cell>
          <cell r="AO439">
            <v>52.97</v>
          </cell>
          <cell r="AP439">
            <v>56.16</v>
          </cell>
          <cell r="AQ439">
            <v>0</v>
          </cell>
          <cell r="AR439">
            <v>56.84</v>
          </cell>
          <cell r="AS439">
            <v>57.54</v>
          </cell>
          <cell r="AT439">
            <v>0</v>
          </cell>
          <cell r="AU439">
            <v>56.16</v>
          </cell>
          <cell r="AV439">
            <v>0</v>
          </cell>
          <cell r="AW439">
            <v>38.32</v>
          </cell>
          <cell r="AX439">
            <v>40.619999999999997</v>
          </cell>
          <cell r="AY439">
            <v>40.869999999999997</v>
          </cell>
          <cell r="AZ439">
            <v>41.12</v>
          </cell>
          <cell r="BA439">
            <v>41.63</v>
          </cell>
          <cell r="BB439">
            <v>41.63</v>
          </cell>
          <cell r="BC439">
            <v>40.619999999999997</v>
          </cell>
          <cell r="BD439">
            <v>0</v>
          </cell>
          <cell r="BE439">
            <v>52.98</v>
          </cell>
          <cell r="BF439">
            <v>56.15</v>
          </cell>
          <cell r="BG439">
            <v>56.5</v>
          </cell>
          <cell r="BH439">
            <v>56.85</v>
          </cell>
          <cell r="BI439">
            <v>57.55</v>
          </cell>
          <cell r="BJ439">
            <v>58.27</v>
          </cell>
          <cell r="BK439">
            <v>56.15</v>
          </cell>
        </row>
        <row r="440">
          <cell r="A440">
            <v>7891721023545</v>
          </cell>
          <cell r="B440">
            <v>1008903470072</v>
          </cell>
          <cell r="C440">
            <v>525419901113418</v>
          </cell>
          <cell r="D440" t="str">
            <v>MESIDOX</v>
          </cell>
          <cell r="E440" t="str">
            <v>2 MG COM FR PLAS OPC X 30</v>
          </cell>
          <cell r="F440" t="str">
            <v>Comprimido</v>
          </cell>
          <cell r="G440"/>
          <cell r="H440"/>
          <cell r="I440">
            <v>30</v>
          </cell>
          <cell r="J440"/>
          <cell r="K440" t="str">
            <v>Conformidade</v>
          </cell>
          <cell r="L440">
            <v>2</v>
          </cell>
          <cell r="M440" t="str">
            <v>Tarja Vermelha</v>
          </cell>
          <cell r="N440" t="str">
            <v>Não</v>
          </cell>
          <cell r="O440" t="str">
            <v>Não</v>
          </cell>
          <cell r="P440" t="str">
            <v>Não</v>
          </cell>
          <cell r="Q440" t="str">
            <v>I</v>
          </cell>
          <cell r="R440"/>
          <cell r="S440" t="str">
            <v>Similar</v>
          </cell>
          <cell r="T440" t="str">
            <v>Monitorado</v>
          </cell>
          <cell r="U440"/>
          <cell r="V440" t="str">
            <v>77883-43-3</v>
          </cell>
          <cell r="W440"/>
          <cell r="X440"/>
          <cell r="Y440" t="str">
            <v>MG</v>
          </cell>
          <cell r="Z440">
            <v>3210</v>
          </cell>
          <cell r="AA440" t="str">
            <v>169 - ANTI-HIPERTENSIVOS PURO-AÇÃO PERIFÉRICA</v>
          </cell>
          <cell r="AB440" t="str">
            <v>N</v>
          </cell>
          <cell r="AC440" t="str">
            <v>N</v>
          </cell>
          <cell r="AD440">
            <v>0</v>
          </cell>
          <cell r="AE440" t="str">
            <v>N</v>
          </cell>
          <cell r="AF440">
            <v>0</v>
          </cell>
          <cell r="AG440">
            <v>18.71</v>
          </cell>
          <cell r="AH440">
            <v>19.84</v>
          </cell>
          <cell r="AI440">
            <v>0</v>
          </cell>
          <cell r="AJ440">
            <v>20.079999999999998</v>
          </cell>
          <cell r="AK440">
            <v>20.329999999999998</v>
          </cell>
          <cell r="AL440">
            <v>0</v>
          </cell>
          <cell r="AM440">
            <v>19.84</v>
          </cell>
          <cell r="AN440">
            <v>0</v>
          </cell>
          <cell r="AO440">
            <v>25.87</v>
          </cell>
          <cell r="AP440">
            <v>27.43</v>
          </cell>
          <cell r="AQ440">
            <v>0</v>
          </cell>
          <cell r="AR440">
            <v>27.76</v>
          </cell>
          <cell r="AS440">
            <v>28.11</v>
          </cell>
          <cell r="AT440">
            <v>0</v>
          </cell>
          <cell r="AU440">
            <v>27.43</v>
          </cell>
          <cell r="AV440">
            <v>0</v>
          </cell>
          <cell r="AW440">
            <v>19.28</v>
          </cell>
          <cell r="AX440">
            <v>20.440000000000001</v>
          </cell>
          <cell r="AY440">
            <v>20.57</v>
          </cell>
          <cell r="AZ440">
            <v>20.69</v>
          </cell>
          <cell r="BA440">
            <v>20.95</v>
          </cell>
          <cell r="BB440">
            <v>20.95</v>
          </cell>
          <cell r="BC440">
            <v>20.440000000000001</v>
          </cell>
          <cell r="BD440">
            <v>0</v>
          </cell>
          <cell r="BE440">
            <v>26.65</v>
          </cell>
          <cell r="BF440">
            <v>28.26</v>
          </cell>
          <cell r="BG440">
            <v>28.44</v>
          </cell>
          <cell r="BH440">
            <v>28.61</v>
          </cell>
          <cell r="BI440">
            <v>28.96</v>
          </cell>
          <cell r="BJ440">
            <v>29.32</v>
          </cell>
          <cell r="BK440">
            <v>28.26</v>
          </cell>
        </row>
        <row r="441">
          <cell r="A441"/>
          <cell r="B441"/>
          <cell r="C441"/>
          <cell r="D441"/>
          <cell r="E441"/>
          <cell r="F441"/>
          <cell r="G441"/>
          <cell r="H441"/>
          <cell r="I441"/>
          <cell r="J441"/>
          <cell r="K441"/>
          <cell r="L441"/>
          <cell r="M441"/>
          <cell r="N441"/>
          <cell r="O441"/>
          <cell r="P441"/>
          <cell r="Q441"/>
          <cell r="R441"/>
          <cell r="S441"/>
          <cell r="T441"/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  <cell r="AM441"/>
          <cell r="AN441"/>
          <cell r="AO441"/>
          <cell r="AP441"/>
          <cell r="AQ441"/>
          <cell r="AR441"/>
          <cell r="AS441"/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/>
          <cell r="BG441"/>
          <cell r="BH441"/>
          <cell r="BI441"/>
          <cell r="BJ441"/>
          <cell r="BK441"/>
        </row>
        <row r="442">
          <cell r="A442"/>
          <cell r="B442"/>
          <cell r="C442"/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  <cell r="O442"/>
          <cell r="P442"/>
          <cell r="Q442"/>
          <cell r="R442"/>
          <cell r="S442"/>
          <cell r="T442"/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  <cell r="AM442"/>
          <cell r="AN442"/>
          <cell r="AO442"/>
          <cell r="AP442"/>
          <cell r="AQ442"/>
          <cell r="AR442"/>
          <cell r="AS442"/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/>
          <cell r="BG442"/>
          <cell r="BH442"/>
          <cell r="BI442"/>
          <cell r="BJ442"/>
          <cell r="BK442"/>
        </row>
        <row r="443">
          <cell r="A443">
            <v>7891721016851</v>
          </cell>
          <cell r="B443">
            <v>1008903470161</v>
          </cell>
          <cell r="C443">
            <v>525419904112412</v>
          </cell>
          <cell r="D443" t="str">
            <v>MESIDOX</v>
          </cell>
          <cell r="E443" t="str">
            <v>4 MG COM FR PLAS OPC X 20</v>
          </cell>
          <cell r="F443" t="str">
            <v>Comprimido</v>
          </cell>
          <cell r="G443"/>
          <cell r="H443"/>
          <cell r="I443">
            <v>20</v>
          </cell>
          <cell r="J443"/>
          <cell r="K443" t="str">
            <v>Conformidade</v>
          </cell>
          <cell r="L443">
            <v>2</v>
          </cell>
          <cell r="M443" t="str">
            <v>Tarja Vermelha</v>
          </cell>
          <cell r="N443" t="str">
            <v>Não</v>
          </cell>
          <cell r="O443" t="str">
            <v>Não</v>
          </cell>
          <cell r="P443" t="str">
            <v>Não</v>
          </cell>
          <cell r="Q443" t="str">
            <v>I</v>
          </cell>
          <cell r="R443"/>
          <cell r="S443" t="str">
            <v>Similar</v>
          </cell>
          <cell r="T443" t="str">
            <v>Monitorado</v>
          </cell>
          <cell r="U443"/>
          <cell r="V443" t="str">
            <v>77883-43-3</v>
          </cell>
          <cell r="W443"/>
          <cell r="X443"/>
          <cell r="Y443" t="str">
            <v>MG</v>
          </cell>
          <cell r="Z443">
            <v>3210</v>
          </cell>
          <cell r="AA443" t="str">
            <v>169 - ANTI-HIPERTENSIVOS PURO-AÇÃO PERIFÉRICA</v>
          </cell>
          <cell r="AB443" t="str">
            <v>N</v>
          </cell>
          <cell r="AC443" t="str">
            <v>N</v>
          </cell>
          <cell r="AD443">
            <v>0</v>
          </cell>
          <cell r="AE443" t="str">
            <v>N</v>
          </cell>
          <cell r="AF443">
            <v>0</v>
          </cell>
          <cell r="AG443">
            <v>57.5</v>
          </cell>
          <cell r="AH443">
            <v>60.97</v>
          </cell>
          <cell r="AI443">
            <v>0</v>
          </cell>
          <cell r="AJ443">
            <v>61.71</v>
          </cell>
          <cell r="AK443">
            <v>62.47</v>
          </cell>
          <cell r="AL443">
            <v>0</v>
          </cell>
          <cell r="AM443">
            <v>60.97</v>
          </cell>
          <cell r="AN443">
            <v>0</v>
          </cell>
          <cell r="AO443">
            <v>79.489999999999995</v>
          </cell>
          <cell r="AP443">
            <v>84.28</v>
          </cell>
          <cell r="AQ443">
            <v>0</v>
          </cell>
          <cell r="AR443">
            <v>85.31</v>
          </cell>
          <cell r="AS443">
            <v>86.35</v>
          </cell>
          <cell r="AT443">
            <v>0</v>
          </cell>
          <cell r="AU443">
            <v>84.28</v>
          </cell>
          <cell r="AV443">
            <v>0</v>
          </cell>
          <cell r="AW443">
            <v>57.5</v>
          </cell>
          <cell r="AX443">
            <v>60.97</v>
          </cell>
          <cell r="AY443">
            <v>61.34</v>
          </cell>
          <cell r="AZ443">
            <v>61.71</v>
          </cell>
          <cell r="BA443">
            <v>62.47</v>
          </cell>
          <cell r="BB443">
            <v>62.47</v>
          </cell>
          <cell r="BC443">
            <v>60.97</v>
          </cell>
          <cell r="BD443">
            <v>0</v>
          </cell>
          <cell r="BE443">
            <v>79.489999999999995</v>
          </cell>
          <cell r="BF443">
            <v>84.29</v>
          </cell>
          <cell r="BG443">
            <v>84.8</v>
          </cell>
          <cell r="BH443">
            <v>85.31</v>
          </cell>
          <cell r="BI443">
            <v>86.36</v>
          </cell>
          <cell r="BJ443">
            <v>87.44</v>
          </cell>
          <cell r="BK443">
            <v>84.29</v>
          </cell>
        </row>
        <row r="444">
          <cell r="A444">
            <v>7891721023576</v>
          </cell>
          <cell r="B444">
            <v>1008903470171</v>
          </cell>
          <cell r="C444">
            <v>525419902111419</v>
          </cell>
          <cell r="D444" t="str">
            <v>MESIDOX</v>
          </cell>
          <cell r="E444" t="str">
            <v>4 MG COM FR PLAS OPC X 30</v>
          </cell>
          <cell r="F444" t="str">
            <v>Comprimido</v>
          </cell>
          <cell r="G444"/>
          <cell r="H444"/>
          <cell r="I444">
            <v>30</v>
          </cell>
          <cell r="J444"/>
          <cell r="K444" t="str">
            <v>Conformidade</v>
          </cell>
          <cell r="L444">
            <v>2</v>
          </cell>
          <cell r="M444" t="str">
            <v>Tarja Vermelha</v>
          </cell>
          <cell r="N444" t="str">
            <v>Não</v>
          </cell>
          <cell r="O444" t="str">
            <v>Não</v>
          </cell>
          <cell r="P444" t="str">
            <v>Não</v>
          </cell>
          <cell r="Q444" t="str">
            <v>I</v>
          </cell>
          <cell r="R444"/>
          <cell r="S444" t="str">
            <v>Similar</v>
          </cell>
          <cell r="T444" t="str">
            <v>Monitorado</v>
          </cell>
          <cell r="U444"/>
          <cell r="V444" t="str">
            <v>77883-43-3</v>
          </cell>
          <cell r="W444"/>
          <cell r="X444"/>
          <cell r="Y444" t="str">
            <v>MG</v>
          </cell>
          <cell r="Z444">
            <v>3210</v>
          </cell>
          <cell r="AA444" t="str">
            <v>169 - ANTI-HIPERTENSIVOS PURO-AÇÃO PERIFÉRICA</v>
          </cell>
          <cell r="AB444" t="str">
            <v>N</v>
          </cell>
          <cell r="AC444" t="str">
            <v>N</v>
          </cell>
          <cell r="AD444">
            <v>0</v>
          </cell>
          <cell r="AE444" t="str">
            <v>N</v>
          </cell>
          <cell r="AF444">
            <v>0</v>
          </cell>
          <cell r="AG444">
            <v>37.19</v>
          </cell>
          <cell r="AH444">
            <v>39.43</v>
          </cell>
          <cell r="AI444">
            <v>0</v>
          </cell>
          <cell r="AJ444">
            <v>39.92</v>
          </cell>
          <cell r="AK444">
            <v>40.409999999999997</v>
          </cell>
          <cell r="AL444">
            <v>0</v>
          </cell>
          <cell r="AM444">
            <v>39.43</v>
          </cell>
          <cell r="AN444">
            <v>0</v>
          </cell>
          <cell r="AO444">
            <v>51.41</v>
          </cell>
          <cell r="AP444">
            <v>54.51</v>
          </cell>
          <cell r="AQ444">
            <v>0</v>
          </cell>
          <cell r="AR444">
            <v>55.18</v>
          </cell>
          <cell r="AS444">
            <v>55.86</v>
          </cell>
          <cell r="AT444">
            <v>0</v>
          </cell>
          <cell r="AU444">
            <v>54.51</v>
          </cell>
          <cell r="AV444">
            <v>0</v>
          </cell>
          <cell r="AW444">
            <v>38.340000000000003</v>
          </cell>
          <cell r="AX444">
            <v>40.65</v>
          </cell>
          <cell r="AY444">
            <v>40.89</v>
          </cell>
          <cell r="AZ444">
            <v>41.14</v>
          </cell>
          <cell r="BA444">
            <v>41.65</v>
          </cell>
          <cell r="BB444">
            <v>41.65</v>
          </cell>
          <cell r="BC444">
            <v>40.65</v>
          </cell>
          <cell r="BD444">
            <v>0</v>
          </cell>
          <cell r="BE444">
            <v>53</v>
          </cell>
          <cell r="BF444">
            <v>56.2</v>
          </cell>
          <cell r="BG444">
            <v>56.53</v>
          </cell>
          <cell r="BH444">
            <v>56.88</v>
          </cell>
          <cell r="BI444">
            <v>57.58</v>
          </cell>
          <cell r="BJ444">
            <v>58.3</v>
          </cell>
          <cell r="BK444">
            <v>56.2</v>
          </cell>
        </row>
        <row r="445">
          <cell r="A445"/>
          <cell r="B445"/>
          <cell r="C445"/>
          <cell r="D445"/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  <cell r="AQ445"/>
          <cell r="AR445"/>
          <cell r="AS445"/>
          <cell r="AT445"/>
          <cell r="AU445"/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/>
          <cell r="BG445"/>
          <cell r="BH445"/>
          <cell r="BI445"/>
          <cell r="BJ445"/>
          <cell r="BK445"/>
        </row>
        <row r="446">
          <cell r="A446"/>
          <cell r="B446"/>
          <cell r="C446"/>
          <cell r="D446"/>
          <cell r="E446"/>
          <cell r="F446"/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  <cell r="AQ446"/>
          <cell r="AR446"/>
          <cell r="AS446"/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/>
          <cell r="BG446"/>
          <cell r="BH446"/>
          <cell r="BI446"/>
          <cell r="BJ446"/>
          <cell r="BK446"/>
        </row>
        <row r="447">
          <cell r="A447">
            <v>7891721023491</v>
          </cell>
          <cell r="B447">
            <v>1008902770021</v>
          </cell>
          <cell r="C447">
            <v>525406301112117</v>
          </cell>
          <cell r="D447" t="str">
            <v>MESILATO DE DOXAZOSINA</v>
          </cell>
          <cell r="E447" t="str">
            <v>2 MG COM EST FR PLAS OPC X 30</v>
          </cell>
          <cell r="F447" t="str">
            <v>Comprimido</v>
          </cell>
          <cell r="G447"/>
          <cell r="H447"/>
          <cell r="I447">
            <v>30</v>
          </cell>
          <cell r="J447"/>
          <cell r="K447" t="str">
            <v>Conformidade</v>
          </cell>
          <cell r="L447">
            <v>2</v>
          </cell>
          <cell r="M447" t="str">
            <v>Tarja Vermelha</v>
          </cell>
          <cell r="N447" t="str">
            <v>Não</v>
          </cell>
          <cell r="O447" t="str">
            <v>Não</v>
          </cell>
          <cell r="P447" t="str">
            <v>Não</v>
          </cell>
          <cell r="Q447" t="str">
            <v>I</v>
          </cell>
          <cell r="R447"/>
          <cell r="S447" t="str">
            <v>Genérico</v>
          </cell>
          <cell r="T447" t="str">
            <v>Monitorado</v>
          </cell>
          <cell r="U447"/>
          <cell r="V447" t="str">
            <v>77883-43-3</v>
          </cell>
          <cell r="W447"/>
          <cell r="X447"/>
          <cell r="Y447" t="str">
            <v>MG</v>
          </cell>
          <cell r="Z447">
            <v>3210</v>
          </cell>
          <cell r="AA447" t="str">
            <v>169 - ANTI-HIPERTENSIVOS PURO-AÇÃO PERIFÉRICA</v>
          </cell>
          <cell r="AB447" t="str">
            <v>N</v>
          </cell>
          <cell r="AC447" t="str">
            <v>N</v>
          </cell>
          <cell r="AD447">
            <v>0</v>
          </cell>
          <cell r="AE447" t="str">
            <v>N</v>
          </cell>
          <cell r="AF447">
            <v>0</v>
          </cell>
          <cell r="AG447">
            <v>29.3</v>
          </cell>
          <cell r="AH447">
            <v>31.06</v>
          </cell>
          <cell r="AI447">
            <v>0</v>
          </cell>
          <cell r="AJ447">
            <v>31.44</v>
          </cell>
          <cell r="AK447">
            <v>31.83</v>
          </cell>
          <cell r="AL447">
            <v>0</v>
          </cell>
          <cell r="AM447">
            <v>31.06</v>
          </cell>
          <cell r="AN447">
            <v>0</v>
          </cell>
          <cell r="AO447">
            <v>40.51</v>
          </cell>
          <cell r="AP447">
            <v>42.94</v>
          </cell>
          <cell r="AQ447">
            <v>0</v>
          </cell>
          <cell r="AR447">
            <v>43.46</v>
          </cell>
          <cell r="AS447">
            <v>44</v>
          </cell>
          <cell r="AT447">
            <v>0</v>
          </cell>
          <cell r="AU447">
            <v>42.94</v>
          </cell>
          <cell r="AV447">
            <v>0</v>
          </cell>
          <cell r="AW447">
            <v>30.19</v>
          </cell>
          <cell r="AX447">
            <v>32.01</v>
          </cell>
          <cell r="AY447">
            <v>32.200000000000003</v>
          </cell>
          <cell r="AZ447">
            <v>32.4</v>
          </cell>
          <cell r="BA447">
            <v>32.799999999999997</v>
          </cell>
          <cell r="BB447">
            <v>32.799999999999997</v>
          </cell>
          <cell r="BC447">
            <v>32.01</v>
          </cell>
          <cell r="BD447">
            <v>0</v>
          </cell>
          <cell r="BE447">
            <v>41.74</v>
          </cell>
          <cell r="BF447">
            <v>44.25</v>
          </cell>
          <cell r="BG447">
            <v>44.51</v>
          </cell>
          <cell r="BH447">
            <v>44.79</v>
          </cell>
          <cell r="BI447">
            <v>45.34</v>
          </cell>
          <cell r="BJ447">
            <v>45.91</v>
          </cell>
          <cell r="BK447">
            <v>44.25</v>
          </cell>
        </row>
        <row r="448">
          <cell r="A448"/>
          <cell r="B448"/>
          <cell r="C448"/>
          <cell r="D448"/>
          <cell r="E448"/>
          <cell r="F448"/>
          <cell r="G448"/>
          <cell r="H448"/>
          <cell r="I448"/>
          <cell r="J448"/>
          <cell r="K448"/>
          <cell r="L448"/>
          <cell r="M448"/>
          <cell r="N448"/>
          <cell r="O448"/>
          <cell r="P448"/>
          <cell r="Q448"/>
          <cell r="R448"/>
          <cell r="S448"/>
          <cell r="T448"/>
          <cell r="U448"/>
          <cell r="V448"/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  <cell r="AM448"/>
          <cell r="AN448"/>
          <cell r="AO448"/>
          <cell r="AP448"/>
          <cell r="AQ448"/>
          <cell r="AR448"/>
          <cell r="AS448"/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/>
          <cell r="BG448"/>
          <cell r="BH448"/>
          <cell r="BI448"/>
          <cell r="BJ448"/>
          <cell r="BK448"/>
        </row>
        <row r="449">
          <cell r="A449">
            <v>7891721023507</v>
          </cell>
          <cell r="B449">
            <v>1008902770072</v>
          </cell>
          <cell r="C449">
            <v>525406302119115</v>
          </cell>
          <cell r="D449" t="str">
            <v>MESILATO DE DOXAZOSINA</v>
          </cell>
          <cell r="E449" t="str">
            <v>4 MG COM EST FR PLAS OPC X 30</v>
          </cell>
          <cell r="F449" t="str">
            <v>Comprimido</v>
          </cell>
          <cell r="G449"/>
          <cell r="H449"/>
          <cell r="I449">
            <v>30</v>
          </cell>
          <cell r="J449"/>
          <cell r="K449" t="str">
            <v>Conformidade</v>
          </cell>
          <cell r="L449">
            <v>2</v>
          </cell>
          <cell r="M449" t="str">
            <v>Tarja Vermelha</v>
          </cell>
          <cell r="N449" t="str">
            <v>Não</v>
          </cell>
          <cell r="O449" t="str">
            <v>Não</v>
          </cell>
          <cell r="P449" t="str">
            <v>Não</v>
          </cell>
          <cell r="Q449" t="str">
            <v>I</v>
          </cell>
          <cell r="R449"/>
          <cell r="S449" t="str">
            <v>Genérico</v>
          </cell>
          <cell r="T449" t="str">
            <v>Monitorado</v>
          </cell>
          <cell r="U449"/>
          <cell r="V449" t="str">
            <v>77883-43-3</v>
          </cell>
          <cell r="W449"/>
          <cell r="X449"/>
          <cell r="Y449" t="str">
            <v>MG</v>
          </cell>
          <cell r="Z449">
            <v>3210</v>
          </cell>
          <cell r="AA449" t="str">
            <v>169 - ANTI-HIPERTENSIVOS PURO-AÇÃO PERIFÉRICA</v>
          </cell>
          <cell r="AB449" t="str">
            <v>N</v>
          </cell>
          <cell r="AC449" t="str">
            <v>N</v>
          </cell>
          <cell r="AD449">
            <v>0</v>
          </cell>
          <cell r="AE449" t="str">
            <v>N</v>
          </cell>
          <cell r="AF449">
            <v>0</v>
          </cell>
          <cell r="AG449">
            <v>79.95</v>
          </cell>
          <cell r="AH449">
            <v>84.77</v>
          </cell>
          <cell r="AI449">
            <v>0</v>
          </cell>
          <cell r="AJ449">
            <v>85.8</v>
          </cell>
          <cell r="AK449">
            <v>86.86</v>
          </cell>
          <cell r="AL449">
            <v>0</v>
          </cell>
          <cell r="AM449">
            <v>84.77</v>
          </cell>
          <cell r="AN449">
            <v>0</v>
          </cell>
          <cell r="AO449">
            <v>110.53</v>
          </cell>
          <cell r="AP449">
            <v>117.19</v>
          </cell>
          <cell r="AQ449">
            <v>0</v>
          </cell>
          <cell r="AR449">
            <v>118.61</v>
          </cell>
          <cell r="AS449">
            <v>120.08</v>
          </cell>
          <cell r="AT449">
            <v>0</v>
          </cell>
          <cell r="AU449">
            <v>117.19</v>
          </cell>
          <cell r="AV449">
            <v>0</v>
          </cell>
          <cell r="AW449">
            <v>82.4</v>
          </cell>
          <cell r="AX449">
            <v>87.36</v>
          </cell>
          <cell r="AY449">
            <v>87.89</v>
          </cell>
          <cell r="AZ449">
            <v>88.42</v>
          </cell>
          <cell r="BA449">
            <v>89.52</v>
          </cell>
          <cell r="BB449">
            <v>89.52</v>
          </cell>
          <cell r="BC449">
            <v>87.36</v>
          </cell>
          <cell r="BD449">
            <v>0</v>
          </cell>
          <cell r="BE449">
            <v>113.91</v>
          </cell>
          <cell r="BF449">
            <v>120.77</v>
          </cell>
          <cell r="BG449">
            <v>121.5</v>
          </cell>
          <cell r="BH449">
            <v>122.24</v>
          </cell>
          <cell r="BI449">
            <v>123.76</v>
          </cell>
          <cell r="BJ449">
            <v>125.29</v>
          </cell>
          <cell r="BK449">
            <v>120.77</v>
          </cell>
        </row>
        <row r="450">
          <cell r="A450"/>
          <cell r="B450"/>
          <cell r="C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  <cell r="AM450"/>
          <cell r="AN450"/>
          <cell r="AO450"/>
          <cell r="AP450"/>
          <cell r="AQ450"/>
          <cell r="AR450"/>
          <cell r="AS450"/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/>
          <cell r="BG450"/>
          <cell r="BH450"/>
          <cell r="BI450"/>
          <cell r="BJ450"/>
          <cell r="BK450"/>
        </row>
        <row r="451">
          <cell r="A451">
            <v>7891721000027</v>
          </cell>
          <cell r="B451">
            <v>1008901690024</v>
          </cell>
          <cell r="C451">
            <v>525406601132423</v>
          </cell>
          <cell r="D451" t="str">
            <v>MUCOFLUX</v>
          </cell>
          <cell r="E451" t="str">
            <v>20 MG/ML XPE CT FR PLAS OPC X 100 ML</v>
          </cell>
          <cell r="F451" t="str">
            <v>Xarope</v>
          </cell>
          <cell r="G451">
            <v>1</v>
          </cell>
          <cell r="H451" t="str">
            <v>FRASCO</v>
          </cell>
          <cell r="I451">
            <v>100</v>
          </cell>
          <cell r="J451" t="str">
            <v>ML</v>
          </cell>
          <cell r="K451" t="str">
            <v>Conformidade</v>
          </cell>
          <cell r="L451">
            <v>1</v>
          </cell>
          <cell r="M451" t="str">
            <v>Venda Livre</v>
          </cell>
          <cell r="N451" t="str">
            <v>Não</v>
          </cell>
          <cell r="O451" t="str">
            <v>Não</v>
          </cell>
          <cell r="P451" t="str">
            <v>Não</v>
          </cell>
          <cell r="Q451" t="str">
            <v>N</v>
          </cell>
          <cell r="R451"/>
          <cell r="S451" t="str">
            <v>Similar</v>
          </cell>
          <cell r="T451" t="str">
            <v>Liberado</v>
          </cell>
          <cell r="U451" t="str">
            <v>Resolução CMED nº 5, de 9 de outubro de 2003</v>
          </cell>
          <cell r="V451" t="str">
            <v>638-23-3</v>
          </cell>
          <cell r="W451"/>
          <cell r="X451"/>
          <cell r="Y451" t="str">
            <v>MG/ML</v>
          </cell>
          <cell r="Z451">
            <v>1739</v>
          </cell>
          <cell r="AA451" t="str">
            <v>561 - EXPECTORANTES</v>
          </cell>
          <cell r="AB451" t="str">
            <v>N</v>
          </cell>
          <cell r="AC451" t="str">
            <v>N</v>
          </cell>
          <cell r="AD451">
            <v>0</v>
          </cell>
          <cell r="AE451" t="str">
            <v>N</v>
          </cell>
          <cell r="AF451">
            <v>0</v>
          </cell>
          <cell r="AG451">
            <v>13.09</v>
          </cell>
          <cell r="AH451">
            <v>13.99</v>
          </cell>
          <cell r="AI451">
            <v>0</v>
          </cell>
          <cell r="AJ451">
            <v>14.19</v>
          </cell>
          <cell r="AK451">
            <v>14.39</v>
          </cell>
          <cell r="AL451">
            <v>0</v>
          </cell>
          <cell r="AM451">
            <v>12.18</v>
          </cell>
          <cell r="AN451">
            <v>0</v>
          </cell>
          <cell r="AO451">
            <v>17.489999999999998</v>
          </cell>
          <cell r="AP451">
            <v>18.649999999999999</v>
          </cell>
          <cell r="AQ451">
            <v>0</v>
          </cell>
          <cell r="AR451">
            <v>18.91</v>
          </cell>
          <cell r="AS451">
            <v>19.16</v>
          </cell>
          <cell r="AT451">
            <v>0</v>
          </cell>
          <cell r="AU451">
            <v>16.84</v>
          </cell>
          <cell r="AV451">
            <v>0</v>
          </cell>
          <cell r="AW451">
            <v>0.92</v>
          </cell>
          <cell r="AX451">
            <v>0.99</v>
          </cell>
          <cell r="AY451">
            <v>0.99</v>
          </cell>
          <cell r="AZ451">
            <v>1</v>
          </cell>
          <cell r="BA451">
            <v>1.01</v>
          </cell>
          <cell r="BB451">
            <v>1.01</v>
          </cell>
          <cell r="BC451">
            <v>0.86</v>
          </cell>
          <cell r="BD451">
            <v>0</v>
          </cell>
          <cell r="BE451">
            <v>1.23</v>
          </cell>
          <cell r="BF451">
            <v>1.32</v>
          </cell>
          <cell r="BG451">
            <v>1.32</v>
          </cell>
          <cell r="BH451">
            <v>1.33</v>
          </cell>
          <cell r="BI451">
            <v>1.34</v>
          </cell>
          <cell r="BJ451">
            <v>1.37</v>
          </cell>
          <cell r="BK451">
            <v>1.19</v>
          </cell>
        </row>
        <row r="452">
          <cell r="A452">
            <v>7891721000010</v>
          </cell>
          <cell r="B452">
            <v>1008901690040</v>
          </cell>
          <cell r="C452">
            <v>525406602139421</v>
          </cell>
          <cell r="D452" t="str">
            <v>MUCOFLUX</v>
          </cell>
          <cell r="E452" t="str">
            <v>50 MG/ML XPE CT FR PLAS OPC X 100 ML</v>
          </cell>
          <cell r="F452" t="str">
            <v>Xarope</v>
          </cell>
          <cell r="G452">
            <v>1</v>
          </cell>
          <cell r="H452" t="str">
            <v>FRASCO</v>
          </cell>
          <cell r="I452">
            <v>100</v>
          </cell>
          <cell r="J452" t="str">
            <v>ML</v>
          </cell>
          <cell r="K452" t="str">
            <v>Conformidade</v>
          </cell>
          <cell r="L452">
            <v>1</v>
          </cell>
          <cell r="M452" t="str">
            <v>Venda Livre</v>
          </cell>
          <cell r="N452" t="str">
            <v>Não</v>
          </cell>
          <cell r="O452" t="str">
            <v>Não</v>
          </cell>
          <cell r="P452" t="str">
            <v>Não</v>
          </cell>
          <cell r="Q452" t="str">
            <v>N</v>
          </cell>
          <cell r="R452"/>
          <cell r="S452" t="str">
            <v>Similar</v>
          </cell>
          <cell r="T452" t="str">
            <v>Liberado</v>
          </cell>
          <cell r="U452" t="str">
            <v>Resolução CMED nº 5, de 9 de outubro de 2003</v>
          </cell>
          <cell r="V452" t="str">
            <v>638-23-3</v>
          </cell>
          <cell r="W452"/>
          <cell r="X452"/>
          <cell r="Y452" t="str">
            <v>MG/ML</v>
          </cell>
          <cell r="Z452">
            <v>1739</v>
          </cell>
          <cell r="AA452" t="str">
            <v>561 - EXPECTORANTES</v>
          </cell>
          <cell r="AB452" t="str">
            <v>N</v>
          </cell>
          <cell r="AC452" t="str">
            <v>N</v>
          </cell>
          <cell r="AD452">
            <v>0</v>
          </cell>
          <cell r="AE452" t="str">
            <v>N</v>
          </cell>
          <cell r="AF452">
            <v>0</v>
          </cell>
          <cell r="AG452">
            <v>19.37</v>
          </cell>
          <cell r="AH452">
            <v>20.71</v>
          </cell>
          <cell r="AI452">
            <v>0</v>
          </cell>
          <cell r="AJ452">
            <v>21</v>
          </cell>
          <cell r="AK452">
            <v>21.3</v>
          </cell>
          <cell r="AL452">
            <v>0</v>
          </cell>
          <cell r="AM452">
            <v>18.03</v>
          </cell>
          <cell r="AN452">
            <v>0</v>
          </cell>
          <cell r="AO452">
            <v>25.87</v>
          </cell>
          <cell r="AP452">
            <v>27.6</v>
          </cell>
          <cell r="AQ452">
            <v>0</v>
          </cell>
          <cell r="AR452">
            <v>27.98</v>
          </cell>
          <cell r="AS452">
            <v>28.36</v>
          </cell>
          <cell r="AT452">
            <v>0</v>
          </cell>
          <cell r="AU452">
            <v>24.93</v>
          </cell>
          <cell r="AV452">
            <v>0</v>
          </cell>
          <cell r="AW452">
            <v>0.92</v>
          </cell>
          <cell r="AX452">
            <v>0.99</v>
          </cell>
          <cell r="AY452">
            <v>0.99</v>
          </cell>
          <cell r="AZ452">
            <v>1</v>
          </cell>
          <cell r="BA452">
            <v>1.01</v>
          </cell>
          <cell r="BB452">
            <v>1.01</v>
          </cell>
          <cell r="BC452">
            <v>0.86</v>
          </cell>
          <cell r="BD452">
            <v>0</v>
          </cell>
          <cell r="BE452">
            <v>1.23</v>
          </cell>
          <cell r="BF452">
            <v>1.32</v>
          </cell>
          <cell r="BG452">
            <v>1.32</v>
          </cell>
          <cell r="BH452">
            <v>1.33</v>
          </cell>
          <cell r="BI452">
            <v>1.34</v>
          </cell>
          <cell r="BJ452">
            <v>1.37</v>
          </cell>
          <cell r="BK452">
            <v>1.19</v>
          </cell>
        </row>
        <row r="453">
          <cell r="A453">
            <v>7891721000270</v>
          </cell>
          <cell r="B453">
            <v>1008900370012</v>
          </cell>
          <cell r="C453">
            <v>525406801174413</v>
          </cell>
          <cell r="D453" t="str">
            <v>NASIVIN</v>
          </cell>
          <cell r="E453" t="str">
            <v>0,5 MG / ML SOL NASAL EST CART FR PLAS OPC GOT X 10 ML</v>
          </cell>
          <cell r="F453" t="str">
            <v>SOLUÇÃO NASAL</v>
          </cell>
          <cell r="G453">
            <v>1</v>
          </cell>
          <cell r="H453" t="str">
            <v>FRASCO</v>
          </cell>
          <cell r="I453">
            <v>10</v>
          </cell>
          <cell r="J453" t="str">
            <v>ML</v>
          </cell>
          <cell r="K453" t="str">
            <v>Conformidade</v>
          </cell>
          <cell r="L453">
            <v>3</v>
          </cell>
          <cell r="M453" t="str">
            <v>Tarja Vermelha</v>
          </cell>
          <cell r="N453" t="str">
            <v>Não</v>
          </cell>
          <cell r="O453" t="str">
            <v>Não</v>
          </cell>
          <cell r="P453" t="str">
            <v>Não</v>
          </cell>
          <cell r="Q453" t="str">
            <v>N</v>
          </cell>
          <cell r="R453"/>
          <cell r="S453" t="str">
            <v>Similar</v>
          </cell>
          <cell r="T453" t="str">
            <v>Monitorado</v>
          </cell>
          <cell r="U453"/>
          <cell r="V453">
            <v>151615</v>
          </cell>
          <cell r="W453"/>
          <cell r="X453"/>
          <cell r="Y453" t="str">
            <v>MG/ML</v>
          </cell>
          <cell r="Z453">
            <v>6749</v>
          </cell>
          <cell r="AA453" t="str">
            <v>531 - DESCONGESTIONANTES NASAIS</v>
          </cell>
          <cell r="AB453" t="str">
            <v>N</v>
          </cell>
          <cell r="AC453" t="str">
            <v>N</v>
          </cell>
          <cell r="AD453">
            <v>0</v>
          </cell>
          <cell r="AE453" t="str">
            <v>N</v>
          </cell>
          <cell r="AF453">
            <v>0</v>
          </cell>
          <cell r="AG453">
            <v>5.19</v>
          </cell>
          <cell r="AH453">
            <v>5.55</v>
          </cell>
          <cell r="AI453">
            <v>0</v>
          </cell>
          <cell r="AJ453">
            <v>5.63</v>
          </cell>
          <cell r="AK453">
            <v>5.71</v>
          </cell>
          <cell r="AL453">
            <v>0</v>
          </cell>
          <cell r="AM453">
            <v>4.83</v>
          </cell>
          <cell r="AN453">
            <v>0</v>
          </cell>
          <cell r="AO453">
            <v>6.93</v>
          </cell>
          <cell r="AP453">
            <v>7.4</v>
          </cell>
          <cell r="AQ453">
            <v>0</v>
          </cell>
          <cell r="AR453">
            <v>7.5</v>
          </cell>
          <cell r="AS453">
            <v>7.6</v>
          </cell>
          <cell r="AT453">
            <v>0</v>
          </cell>
          <cell r="AU453">
            <v>6.68</v>
          </cell>
          <cell r="AV453">
            <v>0</v>
          </cell>
          <cell r="AW453">
            <v>5.19</v>
          </cell>
          <cell r="AX453">
            <v>5.55</v>
          </cell>
          <cell r="AY453">
            <v>5.59</v>
          </cell>
          <cell r="AZ453">
            <v>5.63</v>
          </cell>
          <cell r="BA453">
            <v>5.71</v>
          </cell>
          <cell r="BB453">
            <v>5.71</v>
          </cell>
          <cell r="BC453">
            <v>4.83</v>
          </cell>
          <cell r="BD453">
            <v>0</v>
          </cell>
          <cell r="BE453">
            <v>6.93</v>
          </cell>
          <cell r="BF453">
            <v>7.4</v>
          </cell>
          <cell r="BG453">
            <v>7.45</v>
          </cell>
          <cell r="BH453">
            <v>7.5</v>
          </cell>
          <cell r="BI453">
            <v>7.6</v>
          </cell>
          <cell r="BJ453">
            <v>7.71</v>
          </cell>
          <cell r="BK453">
            <v>6.68</v>
          </cell>
        </row>
        <row r="454">
          <cell r="A454">
            <v>7891721000607</v>
          </cell>
          <cell r="B454">
            <v>1008900370039</v>
          </cell>
          <cell r="C454">
            <v>525406802170411</v>
          </cell>
          <cell r="D454" t="str">
            <v>NASIVIN</v>
          </cell>
          <cell r="E454" t="str">
            <v>0,5 MG / ML SOL NASAL EST CART FR PLAS OPC SPRAY X 10 ML</v>
          </cell>
          <cell r="F454" t="str">
            <v>SOLUÇÃO NASAL</v>
          </cell>
          <cell r="G454">
            <v>1</v>
          </cell>
          <cell r="H454" t="str">
            <v>FRASCO</v>
          </cell>
          <cell r="I454">
            <v>10</v>
          </cell>
          <cell r="J454" t="str">
            <v>ML</v>
          </cell>
          <cell r="K454" t="str">
            <v>Conformidade</v>
          </cell>
          <cell r="L454">
            <v>3</v>
          </cell>
          <cell r="M454" t="str">
            <v>Tarja Vermelha</v>
          </cell>
          <cell r="N454" t="str">
            <v>Não</v>
          </cell>
          <cell r="O454" t="str">
            <v>Não</v>
          </cell>
          <cell r="P454" t="str">
            <v>Não</v>
          </cell>
          <cell r="Q454" t="str">
            <v>N</v>
          </cell>
          <cell r="R454"/>
          <cell r="S454" t="str">
            <v>Similar</v>
          </cell>
          <cell r="T454" t="str">
            <v>Monitorado</v>
          </cell>
          <cell r="U454"/>
          <cell r="V454">
            <v>151615</v>
          </cell>
          <cell r="W454"/>
          <cell r="X454"/>
          <cell r="Y454" t="str">
            <v>MG/ML</v>
          </cell>
          <cell r="Z454">
            <v>6749</v>
          </cell>
          <cell r="AA454" t="str">
            <v>531 - DESCONGESTIONANTES NASAIS</v>
          </cell>
          <cell r="AB454" t="str">
            <v>N</v>
          </cell>
          <cell r="AC454" t="str">
            <v>N</v>
          </cell>
          <cell r="AD454">
            <v>0</v>
          </cell>
          <cell r="AE454" t="str">
            <v>N</v>
          </cell>
          <cell r="AF454">
            <v>0</v>
          </cell>
          <cell r="AG454">
            <v>5.51</v>
          </cell>
          <cell r="AH454">
            <v>5.9</v>
          </cell>
          <cell r="AI454">
            <v>0</v>
          </cell>
          <cell r="AJ454">
            <v>5.98</v>
          </cell>
          <cell r="AK454">
            <v>6.07</v>
          </cell>
          <cell r="AL454">
            <v>0</v>
          </cell>
          <cell r="AM454">
            <v>5.13</v>
          </cell>
          <cell r="AN454">
            <v>0</v>
          </cell>
          <cell r="AO454">
            <v>7.36</v>
          </cell>
          <cell r="AP454">
            <v>7.86</v>
          </cell>
          <cell r="AQ454">
            <v>0</v>
          </cell>
          <cell r="AR454">
            <v>7.97</v>
          </cell>
          <cell r="AS454">
            <v>8.08</v>
          </cell>
          <cell r="AT454">
            <v>0</v>
          </cell>
          <cell r="AU454">
            <v>7.09</v>
          </cell>
          <cell r="AV454">
            <v>0</v>
          </cell>
          <cell r="AW454">
            <v>5.51</v>
          </cell>
          <cell r="AX454">
            <v>5.9</v>
          </cell>
          <cell r="AY454">
            <v>5.94</v>
          </cell>
          <cell r="AZ454">
            <v>5.98</v>
          </cell>
          <cell r="BA454">
            <v>6.07</v>
          </cell>
          <cell r="BB454">
            <v>6.07</v>
          </cell>
          <cell r="BC454">
            <v>5.13</v>
          </cell>
          <cell r="BD454">
            <v>0</v>
          </cell>
          <cell r="BE454">
            <v>7.36</v>
          </cell>
          <cell r="BF454">
            <v>7.86</v>
          </cell>
          <cell r="BG454">
            <v>7.92</v>
          </cell>
          <cell r="BH454">
            <v>7.97</v>
          </cell>
          <cell r="BI454">
            <v>8.08</v>
          </cell>
          <cell r="BJ454">
            <v>8.19</v>
          </cell>
          <cell r="BK454">
            <v>7.09</v>
          </cell>
        </row>
        <row r="455">
          <cell r="A455">
            <v>7891721027963</v>
          </cell>
          <cell r="B455">
            <v>1008903760054</v>
          </cell>
          <cell r="C455">
            <v>525413070044403</v>
          </cell>
          <cell r="D455" t="str">
            <v>OVIDREL</v>
          </cell>
          <cell r="E455" t="str">
            <v>250 MCG SOL INJ CT CAN APLIC CAR VD TRANS X 0,5 ML</v>
          </cell>
          <cell r="F455" t="str">
            <v>Solução injetável</v>
          </cell>
          <cell r="G455">
            <v>1</v>
          </cell>
          <cell r="H455" t="str">
            <v>CARPULE</v>
          </cell>
          <cell r="I455">
            <v>0.5</v>
          </cell>
          <cell r="J455" t="str">
            <v>ML</v>
          </cell>
          <cell r="K455" t="str">
            <v>Conformidade</v>
          </cell>
          <cell r="L455">
            <v>3</v>
          </cell>
          <cell r="M455" t="str">
            <v>Tarja Vermelha</v>
          </cell>
          <cell r="N455" t="str">
            <v>Não</v>
          </cell>
          <cell r="O455" t="str">
            <v>Não</v>
          </cell>
          <cell r="P455" t="str">
            <v>Não</v>
          </cell>
          <cell r="Q455" t="str">
            <v>I</v>
          </cell>
          <cell r="R455"/>
          <cell r="S455" t="str">
            <v>Genérico</v>
          </cell>
          <cell r="T455" t="str">
            <v>Monitorado</v>
          </cell>
          <cell r="U455"/>
          <cell r="V455" t="str">
            <v>177073-44-8</v>
          </cell>
          <cell r="W455"/>
          <cell r="X455"/>
          <cell r="Y455" t="str">
            <v>MCG</v>
          </cell>
          <cell r="Z455">
            <v>500</v>
          </cell>
          <cell r="AA455" t="str">
            <v>270 - GONADOTROFINAS INCLUINDO OUTROS ESTIMULANTES PARA OVULAÇÃO</v>
          </cell>
          <cell r="AB455" t="str">
            <v>N</v>
          </cell>
          <cell r="AC455" t="str">
            <v>N</v>
          </cell>
          <cell r="AD455"/>
          <cell r="AE455" t="str">
            <v>N</v>
          </cell>
          <cell r="AF455">
            <v>0</v>
          </cell>
          <cell r="AG455">
            <v>287.31</v>
          </cell>
          <cell r="AH455">
            <v>304.61</v>
          </cell>
          <cell r="AI455">
            <v>0</v>
          </cell>
          <cell r="AJ455">
            <v>308.33</v>
          </cell>
          <cell r="AK455">
            <v>312.14</v>
          </cell>
          <cell r="AL455">
            <v>0</v>
          </cell>
          <cell r="AM455">
            <v>304.61</v>
          </cell>
          <cell r="AN455">
            <v>0</v>
          </cell>
          <cell r="AO455">
            <v>397.19</v>
          </cell>
          <cell r="AP455">
            <v>421.11</v>
          </cell>
          <cell r="AQ455">
            <v>0</v>
          </cell>
          <cell r="AR455">
            <v>426.25</v>
          </cell>
          <cell r="AS455">
            <v>431.52</v>
          </cell>
          <cell r="AT455">
            <v>0</v>
          </cell>
          <cell r="AU455">
            <v>421.11</v>
          </cell>
          <cell r="AV455">
            <v>0</v>
          </cell>
          <cell r="AW455">
            <v>291.20999999999998</v>
          </cell>
          <cell r="AX455">
            <v>308.76</v>
          </cell>
          <cell r="AY455">
            <v>310.63</v>
          </cell>
          <cell r="AZ455">
            <v>312.52</v>
          </cell>
          <cell r="BA455">
            <v>316.38</v>
          </cell>
          <cell r="BB455">
            <v>316.38</v>
          </cell>
          <cell r="BC455">
            <v>308.76</v>
          </cell>
          <cell r="BD455">
            <v>0</v>
          </cell>
          <cell r="BE455">
            <v>402.58</v>
          </cell>
          <cell r="BF455">
            <v>426.84</v>
          </cell>
          <cell r="BG455">
            <v>429.43</v>
          </cell>
          <cell r="BH455">
            <v>432.04</v>
          </cell>
          <cell r="BI455">
            <v>437.38</v>
          </cell>
          <cell r="BJ455">
            <v>442.85</v>
          </cell>
          <cell r="BK455">
            <v>426.84</v>
          </cell>
        </row>
        <row r="456">
          <cell r="A456"/>
          <cell r="B456"/>
          <cell r="C456"/>
          <cell r="D456"/>
          <cell r="E456"/>
          <cell r="F456"/>
          <cell r="G456"/>
          <cell r="H456"/>
          <cell r="I456"/>
          <cell r="J456"/>
          <cell r="K456"/>
          <cell r="L456"/>
          <cell r="M456"/>
          <cell r="N456"/>
          <cell r="O456"/>
          <cell r="P456"/>
          <cell r="Q456"/>
          <cell r="R456"/>
          <cell r="S456"/>
          <cell r="T456"/>
          <cell r="U456"/>
          <cell r="V456"/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  <cell r="AM456"/>
          <cell r="AN456"/>
          <cell r="AO456"/>
          <cell r="AP456"/>
          <cell r="AQ456"/>
          <cell r="AR456"/>
          <cell r="AS456"/>
          <cell r="AT456"/>
          <cell r="AU456"/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/>
          <cell r="BG456"/>
          <cell r="BH456"/>
          <cell r="BI456"/>
          <cell r="BJ456"/>
          <cell r="BK456"/>
        </row>
        <row r="457">
          <cell r="A457"/>
          <cell r="B457"/>
          <cell r="C457"/>
          <cell r="D457"/>
          <cell r="E457"/>
          <cell r="F457"/>
          <cell r="G457"/>
          <cell r="H457"/>
          <cell r="I457"/>
          <cell r="J457"/>
          <cell r="K457"/>
          <cell r="L457"/>
          <cell r="M457"/>
          <cell r="N457"/>
          <cell r="O457"/>
          <cell r="P457"/>
          <cell r="Q457"/>
          <cell r="R457"/>
          <cell r="S457"/>
          <cell r="T457"/>
          <cell r="U457"/>
          <cell r="V457"/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  <cell r="AM457"/>
          <cell r="AN457"/>
          <cell r="AO457"/>
          <cell r="AP457"/>
          <cell r="AQ457"/>
          <cell r="AR457"/>
          <cell r="AS457"/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/>
          <cell r="BG457"/>
          <cell r="BH457"/>
          <cell r="BI457"/>
          <cell r="BJ457"/>
          <cell r="BK457"/>
        </row>
        <row r="458">
          <cell r="A458"/>
          <cell r="B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  <cell r="AM458"/>
          <cell r="AN458"/>
          <cell r="AO458"/>
          <cell r="AP458"/>
          <cell r="AQ458"/>
          <cell r="AR458"/>
          <cell r="AS458"/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/>
          <cell r="BG458"/>
          <cell r="BH458"/>
          <cell r="BI458"/>
          <cell r="BJ458"/>
          <cell r="BK458"/>
        </row>
        <row r="459">
          <cell r="A459">
            <v>7898106035421</v>
          </cell>
          <cell r="B459">
            <v>1008903760046</v>
          </cell>
          <cell r="C459">
            <v>525413020044313</v>
          </cell>
          <cell r="D459" t="str">
            <v>OVIDREL</v>
          </cell>
          <cell r="E459" t="str">
            <v>250 MCG/ML SOL INJ CT 1 SER PREENCH X 0,5 ML</v>
          </cell>
          <cell r="F459" t="str">
            <v>Solução injetável</v>
          </cell>
          <cell r="G459">
            <v>1</v>
          </cell>
          <cell r="H459" t="str">
            <v>SERINGA</v>
          </cell>
          <cell r="I459">
            <v>0.5</v>
          </cell>
          <cell r="J459" t="str">
            <v>ML</v>
          </cell>
          <cell r="K459" t="str">
            <v>Conformidade</v>
          </cell>
          <cell r="L459">
            <v>3</v>
          </cell>
          <cell r="M459" t="str">
            <v>Tarja Vermelha</v>
          </cell>
          <cell r="N459" t="str">
            <v>Não</v>
          </cell>
          <cell r="O459" t="str">
            <v>Não</v>
          </cell>
          <cell r="P459" t="str">
            <v>Não</v>
          </cell>
          <cell r="Q459" t="str">
            <v>I</v>
          </cell>
          <cell r="R459"/>
          <cell r="S459" t="str">
            <v>Genérico</v>
          </cell>
          <cell r="T459" t="str">
            <v>Monitorado</v>
          </cell>
          <cell r="U459"/>
          <cell r="V459" t="str">
            <v>56832-30-5</v>
          </cell>
          <cell r="W459"/>
          <cell r="X459"/>
          <cell r="Y459" t="str">
            <v>MCG/ML</v>
          </cell>
          <cell r="Z459">
            <v>512</v>
          </cell>
          <cell r="AA459" t="str">
            <v>270 - GONADOTROFINAS INCLUINDO OUTROS ESTIMULANTES PARA OVULAÇÃO</v>
          </cell>
          <cell r="AB459" t="str">
            <v>N</v>
          </cell>
          <cell r="AC459" t="str">
            <v>N</v>
          </cell>
          <cell r="AD459"/>
          <cell r="AE459" t="str">
            <v>N</v>
          </cell>
          <cell r="AF459">
            <v>0</v>
          </cell>
          <cell r="AG459">
            <v>287.31</v>
          </cell>
          <cell r="AH459">
            <v>304.61</v>
          </cell>
          <cell r="AI459">
            <v>0</v>
          </cell>
          <cell r="AJ459">
            <v>308.33</v>
          </cell>
          <cell r="AK459">
            <v>312.14</v>
          </cell>
          <cell r="AL459">
            <v>0</v>
          </cell>
          <cell r="AM459">
            <v>304.61</v>
          </cell>
          <cell r="AN459">
            <v>0</v>
          </cell>
          <cell r="AO459">
            <v>397.19</v>
          </cell>
          <cell r="AP459">
            <v>421.11</v>
          </cell>
          <cell r="AQ459">
            <v>0</v>
          </cell>
          <cell r="AR459">
            <v>426.25</v>
          </cell>
          <cell r="AS459">
            <v>431.52</v>
          </cell>
          <cell r="AT459">
            <v>0</v>
          </cell>
          <cell r="AU459">
            <v>421.11</v>
          </cell>
          <cell r="AV459">
            <v>0</v>
          </cell>
          <cell r="AW459">
            <v>287.31</v>
          </cell>
          <cell r="AX459">
            <v>304.62</v>
          </cell>
          <cell r="AY459">
            <v>306.45999999999998</v>
          </cell>
          <cell r="AZ459">
            <v>308.33</v>
          </cell>
          <cell r="BA459">
            <v>312.14</v>
          </cell>
          <cell r="BB459">
            <v>312.14</v>
          </cell>
          <cell r="BC459">
            <v>304.62</v>
          </cell>
          <cell r="BD459">
            <v>0</v>
          </cell>
          <cell r="BE459">
            <v>397.19</v>
          </cell>
          <cell r="BF459">
            <v>421.12</v>
          </cell>
          <cell r="BG459">
            <v>423.66</v>
          </cell>
          <cell r="BH459">
            <v>426.25</v>
          </cell>
          <cell r="BI459">
            <v>431.52</v>
          </cell>
          <cell r="BJ459">
            <v>436.91</v>
          </cell>
          <cell r="BK459">
            <v>421.12</v>
          </cell>
        </row>
        <row r="460">
          <cell r="A460">
            <v>7891721200144</v>
          </cell>
          <cell r="B460">
            <v>1008903270022</v>
          </cell>
          <cell r="C460">
            <v>525418304111115</v>
          </cell>
          <cell r="D460" t="str">
            <v>PANTOPRAZOL</v>
          </cell>
          <cell r="E460" t="str">
            <v>20 MG COM REV EST CT BL AL/AL X 14</v>
          </cell>
          <cell r="F460" t="str">
            <v>Comprimido revestido</v>
          </cell>
          <cell r="G460"/>
          <cell r="H460"/>
          <cell r="I460">
            <v>14</v>
          </cell>
          <cell r="J460"/>
          <cell r="K460" t="str">
            <v>Conformidade</v>
          </cell>
          <cell r="L460">
            <v>1</v>
          </cell>
          <cell r="M460" t="str">
            <v>Tarja Vermelha</v>
          </cell>
          <cell r="N460" t="str">
            <v>Não</v>
          </cell>
          <cell r="O460" t="str">
            <v>Não</v>
          </cell>
          <cell r="P460" t="str">
            <v>Não</v>
          </cell>
          <cell r="Q460" t="str">
            <v>I</v>
          </cell>
          <cell r="R460"/>
          <cell r="S460" t="str">
            <v>Genérico</v>
          </cell>
          <cell r="T460" t="str">
            <v>Monitorado</v>
          </cell>
          <cell r="U460"/>
          <cell r="V460" t="str">
            <v>164579-32-2</v>
          </cell>
          <cell r="W460"/>
          <cell r="X460"/>
          <cell r="Y460" t="str">
            <v>MG</v>
          </cell>
          <cell r="Z460">
            <v>9514</v>
          </cell>
          <cell r="AA460" t="str">
            <v>15 - INIBIDORES DA BOMBA DE PRÓTONS</v>
          </cell>
          <cell r="AB460" t="str">
            <v>N</v>
          </cell>
          <cell r="AC460" t="str">
            <v>N</v>
          </cell>
          <cell r="AD460">
            <v>0</v>
          </cell>
          <cell r="AE460" t="str">
            <v>N</v>
          </cell>
          <cell r="AF460">
            <v>0</v>
          </cell>
          <cell r="AG460">
            <v>23.58</v>
          </cell>
          <cell r="AH460">
            <v>25</v>
          </cell>
          <cell r="AI460">
            <v>0</v>
          </cell>
          <cell r="AJ460">
            <v>25.3</v>
          </cell>
          <cell r="AK460">
            <v>25.61</v>
          </cell>
          <cell r="AL460">
            <v>0</v>
          </cell>
          <cell r="AM460">
            <v>25</v>
          </cell>
          <cell r="AN460">
            <v>0</v>
          </cell>
          <cell r="AO460">
            <v>32.6</v>
          </cell>
          <cell r="AP460">
            <v>34.56</v>
          </cell>
          <cell r="AQ460">
            <v>0</v>
          </cell>
          <cell r="AR460">
            <v>34.979999999999997</v>
          </cell>
          <cell r="AS460">
            <v>35.4</v>
          </cell>
          <cell r="AT460">
            <v>0</v>
          </cell>
          <cell r="AU460">
            <v>34.56</v>
          </cell>
          <cell r="AV460">
            <v>0</v>
          </cell>
          <cell r="AW460">
            <v>24.7</v>
          </cell>
          <cell r="AX460">
            <v>26.18</v>
          </cell>
          <cell r="AY460">
            <v>26.34</v>
          </cell>
          <cell r="AZ460">
            <v>26.5</v>
          </cell>
          <cell r="BA460">
            <v>26.83</v>
          </cell>
          <cell r="BB460">
            <v>26.83</v>
          </cell>
          <cell r="BC460">
            <v>26.18</v>
          </cell>
          <cell r="BD460">
            <v>0</v>
          </cell>
          <cell r="BE460">
            <v>34.15</v>
          </cell>
          <cell r="BF460">
            <v>36.19</v>
          </cell>
          <cell r="BG460">
            <v>36.409999999999997</v>
          </cell>
          <cell r="BH460">
            <v>36.64</v>
          </cell>
          <cell r="BI460">
            <v>37.090000000000003</v>
          </cell>
          <cell r="BJ460">
            <v>37.56</v>
          </cell>
          <cell r="BK460">
            <v>36.19</v>
          </cell>
        </row>
        <row r="461">
          <cell r="A461"/>
          <cell r="B461"/>
          <cell r="C461"/>
          <cell r="D461"/>
          <cell r="E461"/>
          <cell r="F461"/>
          <cell r="G461"/>
          <cell r="H461"/>
          <cell r="I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  <cell r="AQ461"/>
          <cell r="AR461"/>
          <cell r="AS461"/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/>
          <cell r="BG461"/>
          <cell r="BH461"/>
          <cell r="BI461"/>
          <cell r="BJ461"/>
          <cell r="BK461"/>
        </row>
        <row r="462">
          <cell r="A462">
            <v>7891721200151</v>
          </cell>
          <cell r="B462">
            <v>1008903270030</v>
          </cell>
          <cell r="C462">
            <v>525418301112110</v>
          </cell>
          <cell r="D462" t="str">
            <v>PANTOPRAZOL</v>
          </cell>
          <cell r="E462" t="str">
            <v>20 MG COM REV EST CT BL AL/AL X 28</v>
          </cell>
          <cell r="F462" t="str">
            <v>Comprimido revestido</v>
          </cell>
          <cell r="G462"/>
          <cell r="H462"/>
          <cell r="I462">
            <v>28</v>
          </cell>
          <cell r="J462"/>
          <cell r="K462" t="str">
            <v>Conformidade</v>
          </cell>
          <cell r="L462">
            <v>1</v>
          </cell>
          <cell r="M462" t="str">
            <v>Tarja Vermelha</v>
          </cell>
          <cell r="N462" t="str">
            <v>Não</v>
          </cell>
          <cell r="O462" t="str">
            <v>Não</v>
          </cell>
          <cell r="P462" t="str">
            <v>Não</v>
          </cell>
          <cell r="Q462" t="str">
            <v>I</v>
          </cell>
          <cell r="R462"/>
          <cell r="S462" t="str">
            <v>Genérico</v>
          </cell>
          <cell r="T462" t="str">
            <v>Monitorado</v>
          </cell>
          <cell r="U462"/>
          <cell r="V462" t="str">
            <v>164579-32-2</v>
          </cell>
          <cell r="W462"/>
          <cell r="X462"/>
          <cell r="Y462" t="str">
            <v>MG</v>
          </cell>
          <cell r="Z462">
            <v>9514</v>
          </cell>
          <cell r="AA462" t="str">
            <v>15 - INIBIDORES DA BOMBA DE PRÓTONS</v>
          </cell>
          <cell r="AB462" t="str">
            <v>N</v>
          </cell>
          <cell r="AC462" t="str">
            <v>N</v>
          </cell>
          <cell r="AD462">
            <v>0</v>
          </cell>
          <cell r="AE462" t="str">
            <v>N</v>
          </cell>
          <cell r="AF462">
            <v>0</v>
          </cell>
          <cell r="AG462">
            <v>44.47</v>
          </cell>
          <cell r="AH462">
            <v>47.15</v>
          </cell>
          <cell r="AI462">
            <v>0</v>
          </cell>
          <cell r="AJ462">
            <v>47.72</v>
          </cell>
          <cell r="AK462">
            <v>48.31</v>
          </cell>
          <cell r="AL462">
            <v>0</v>
          </cell>
          <cell r="AM462">
            <v>47.15</v>
          </cell>
          <cell r="AN462">
            <v>0</v>
          </cell>
          <cell r="AO462">
            <v>61.48</v>
          </cell>
          <cell r="AP462">
            <v>65.180000000000007</v>
          </cell>
          <cell r="AQ462">
            <v>0</v>
          </cell>
          <cell r="AR462">
            <v>65.97</v>
          </cell>
          <cell r="AS462">
            <v>66.790000000000006</v>
          </cell>
          <cell r="AT462">
            <v>0</v>
          </cell>
          <cell r="AU462">
            <v>65.180000000000007</v>
          </cell>
          <cell r="AV462">
            <v>0</v>
          </cell>
          <cell r="AW462">
            <v>46.58</v>
          </cell>
          <cell r="AX462">
            <v>49.39</v>
          </cell>
          <cell r="AY462">
            <v>49.69</v>
          </cell>
          <cell r="AZ462">
            <v>49.99</v>
          </cell>
          <cell r="BA462">
            <v>50.61</v>
          </cell>
          <cell r="BB462">
            <v>50.61</v>
          </cell>
          <cell r="BC462">
            <v>49.39</v>
          </cell>
          <cell r="BD462">
            <v>0</v>
          </cell>
          <cell r="BE462">
            <v>64.39</v>
          </cell>
          <cell r="BF462">
            <v>68.28</v>
          </cell>
          <cell r="BG462">
            <v>68.69</v>
          </cell>
          <cell r="BH462">
            <v>69.11</v>
          </cell>
          <cell r="BI462">
            <v>69.97</v>
          </cell>
          <cell r="BJ462">
            <v>70.84</v>
          </cell>
          <cell r="BK462">
            <v>68.28</v>
          </cell>
        </row>
        <row r="463">
          <cell r="A463"/>
          <cell r="B463"/>
          <cell r="C463"/>
          <cell r="D463"/>
          <cell r="E463"/>
          <cell r="F463"/>
          <cell r="G463"/>
          <cell r="H463"/>
          <cell r="I463"/>
          <cell r="J463"/>
          <cell r="K463"/>
          <cell r="L463"/>
          <cell r="M463"/>
          <cell r="N463"/>
          <cell r="O463"/>
          <cell r="P463"/>
          <cell r="Q463"/>
          <cell r="R463"/>
          <cell r="S463"/>
          <cell r="T463"/>
          <cell r="U463"/>
          <cell r="V463"/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  <cell r="AM463"/>
          <cell r="AN463"/>
          <cell r="AO463"/>
          <cell r="AP463"/>
          <cell r="AQ463"/>
          <cell r="AR463"/>
          <cell r="AS463"/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/>
          <cell r="BG463"/>
          <cell r="BH463"/>
          <cell r="BI463"/>
          <cell r="BJ463"/>
          <cell r="BK463"/>
        </row>
        <row r="464">
          <cell r="A464">
            <v>7891721200137</v>
          </cell>
          <cell r="B464">
            <v>1008903270014</v>
          </cell>
          <cell r="C464">
            <v>525418306114111</v>
          </cell>
          <cell r="D464" t="str">
            <v>PANTOPRAZOL</v>
          </cell>
          <cell r="E464" t="str">
            <v>20 MG COM REV EST CT BL AL/AL X 7 </v>
          </cell>
          <cell r="F464" t="str">
            <v>Comprimido revestido</v>
          </cell>
          <cell r="G464"/>
          <cell r="H464"/>
          <cell r="I464">
            <v>7</v>
          </cell>
          <cell r="J464"/>
          <cell r="K464" t="str">
            <v>Conformidade</v>
          </cell>
          <cell r="L464">
            <v>1</v>
          </cell>
          <cell r="M464" t="str">
            <v>Tarja Vermelha</v>
          </cell>
          <cell r="N464" t="str">
            <v>Não</v>
          </cell>
          <cell r="O464" t="str">
            <v>Não</v>
          </cell>
          <cell r="P464" t="str">
            <v>Não</v>
          </cell>
          <cell r="Q464" t="str">
            <v>I</v>
          </cell>
          <cell r="R464"/>
          <cell r="S464" t="str">
            <v>Genérico</v>
          </cell>
          <cell r="T464" t="str">
            <v>Monitorado</v>
          </cell>
          <cell r="U464"/>
          <cell r="V464" t="str">
            <v>164579-32-2</v>
          </cell>
          <cell r="W464"/>
          <cell r="X464"/>
          <cell r="Y464" t="str">
            <v>MG</v>
          </cell>
          <cell r="Z464">
            <v>9514</v>
          </cell>
          <cell r="AA464" t="str">
            <v>15 - INIBIDORES DA BOMBA DE PRÓTONS</v>
          </cell>
          <cell r="AB464" t="str">
            <v>N</v>
          </cell>
          <cell r="AC464" t="str">
            <v>N</v>
          </cell>
          <cell r="AD464">
            <v>0</v>
          </cell>
          <cell r="AE464" t="str">
            <v>N</v>
          </cell>
          <cell r="AF464">
            <v>0</v>
          </cell>
          <cell r="AG464">
            <v>11.42</v>
          </cell>
          <cell r="AH464">
            <v>12.11</v>
          </cell>
          <cell r="AI464">
            <v>0</v>
          </cell>
          <cell r="AJ464">
            <v>12.26</v>
          </cell>
          <cell r="AK464">
            <v>12.41</v>
          </cell>
          <cell r="AL464">
            <v>0</v>
          </cell>
          <cell r="AM464">
            <v>12.11</v>
          </cell>
          <cell r="AN464">
            <v>0</v>
          </cell>
          <cell r="AO464">
            <v>15.79</v>
          </cell>
          <cell r="AP464">
            <v>16.739999999999998</v>
          </cell>
          <cell r="AQ464">
            <v>0</v>
          </cell>
          <cell r="AR464">
            <v>16.95</v>
          </cell>
          <cell r="AS464">
            <v>17.16</v>
          </cell>
          <cell r="AT464">
            <v>0</v>
          </cell>
          <cell r="AU464">
            <v>16.739999999999998</v>
          </cell>
          <cell r="AV464">
            <v>0</v>
          </cell>
          <cell r="AW464">
            <v>11.97</v>
          </cell>
          <cell r="AX464">
            <v>12.69</v>
          </cell>
          <cell r="AY464">
            <v>12.77</v>
          </cell>
          <cell r="AZ464">
            <v>12.84</v>
          </cell>
          <cell r="BA464">
            <v>13</v>
          </cell>
          <cell r="BB464">
            <v>13</v>
          </cell>
          <cell r="BC464">
            <v>12.69</v>
          </cell>
          <cell r="BD464">
            <v>0</v>
          </cell>
          <cell r="BE464">
            <v>16.55</v>
          </cell>
          <cell r="BF464">
            <v>17.54</v>
          </cell>
          <cell r="BG464">
            <v>17.649999999999999</v>
          </cell>
          <cell r="BH464">
            <v>17.75</v>
          </cell>
          <cell r="BI464">
            <v>17.97</v>
          </cell>
          <cell r="BJ464">
            <v>18.190000000000001</v>
          </cell>
          <cell r="BK464">
            <v>17.54</v>
          </cell>
        </row>
        <row r="465">
          <cell r="A465"/>
          <cell r="B465"/>
          <cell r="C465"/>
          <cell r="D465"/>
          <cell r="E465"/>
          <cell r="F465"/>
          <cell r="G465"/>
          <cell r="H465"/>
          <cell r="I465"/>
          <cell r="J465"/>
          <cell r="K465"/>
          <cell r="L465"/>
          <cell r="M465"/>
          <cell r="N465"/>
          <cell r="O465"/>
          <cell r="P465"/>
          <cell r="Q465"/>
          <cell r="R465"/>
          <cell r="S465"/>
          <cell r="T465"/>
          <cell r="U465"/>
          <cell r="V465"/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  <cell r="AM465"/>
          <cell r="AN465"/>
          <cell r="AO465"/>
          <cell r="AP465"/>
          <cell r="AQ465"/>
          <cell r="AR465"/>
          <cell r="AS465"/>
          <cell r="AT465"/>
          <cell r="AU465"/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/>
          <cell r="BG465"/>
          <cell r="BH465"/>
          <cell r="BI465"/>
          <cell r="BJ465"/>
          <cell r="BK465"/>
        </row>
        <row r="466">
          <cell r="A466">
            <v>7891721200175</v>
          </cell>
          <cell r="B466">
            <v>1008903270057</v>
          </cell>
          <cell r="C466">
            <v>525418302119119</v>
          </cell>
          <cell r="D466" t="str">
            <v>PANTOPRAZOL</v>
          </cell>
          <cell r="E466" t="str">
            <v>40 MG COM REV EST CT BL AL/AL X 14</v>
          </cell>
          <cell r="F466" t="str">
            <v>Comprimido revestido</v>
          </cell>
          <cell r="G466"/>
          <cell r="H466"/>
          <cell r="I466">
            <v>14</v>
          </cell>
          <cell r="J466"/>
          <cell r="K466" t="str">
            <v>Conformidade</v>
          </cell>
          <cell r="L466">
            <v>1</v>
          </cell>
          <cell r="M466" t="str">
            <v>Tarja Vermelha</v>
          </cell>
          <cell r="N466" t="str">
            <v>Não</v>
          </cell>
          <cell r="O466" t="str">
            <v>Não</v>
          </cell>
          <cell r="P466" t="str">
            <v>Não</v>
          </cell>
          <cell r="Q466" t="str">
            <v>I</v>
          </cell>
          <cell r="R466"/>
          <cell r="S466" t="str">
            <v>Genérico</v>
          </cell>
          <cell r="T466" t="str">
            <v>Monitorado</v>
          </cell>
          <cell r="U466"/>
          <cell r="V466" t="str">
            <v>164579-32-2</v>
          </cell>
          <cell r="W466"/>
          <cell r="X466"/>
          <cell r="Y466" t="str">
            <v>MG</v>
          </cell>
          <cell r="Z466">
            <v>9514</v>
          </cell>
          <cell r="AA466" t="str">
            <v>15 - INIBIDORES DA BOMBA DE PRÓTONS</v>
          </cell>
          <cell r="AB466" t="str">
            <v>N</v>
          </cell>
          <cell r="AC466" t="str">
            <v>N</v>
          </cell>
          <cell r="AD466">
            <v>0</v>
          </cell>
          <cell r="AE466" t="str">
            <v>N</v>
          </cell>
          <cell r="AF466">
            <v>0</v>
          </cell>
          <cell r="AG466">
            <v>41.98</v>
          </cell>
          <cell r="AH466">
            <v>44.51</v>
          </cell>
          <cell r="AI466">
            <v>0</v>
          </cell>
          <cell r="AJ466">
            <v>45.06</v>
          </cell>
          <cell r="AK466">
            <v>45.61</v>
          </cell>
          <cell r="AL466">
            <v>0</v>
          </cell>
          <cell r="AM466">
            <v>44.51</v>
          </cell>
          <cell r="AN466">
            <v>0</v>
          </cell>
          <cell r="AO466">
            <v>58.03</v>
          </cell>
          <cell r="AP466">
            <v>61.53</v>
          </cell>
          <cell r="AQ466">
            <v>0</v>
          </cell>
          <cell r="AR466">
            <v>62.29</v>
          </cell>
          <cell r="AS466">
            <v>63.05</v>
          </cell>
          <cell r="AT466">
            <v>0</v>
          </cell>
          <cell r="AU466">
            <v>61.53</v>
          </cell>
          <cell r="AV466">
            <v>0</v>
          </cell>
          <cell r="AW466">
            <v>43.99</v>
          </cell>
          <cell r="AX466">
            <v>46.64</v>
          </cell>
          <cell r="AY466">
            <v>46.92</v>
          </cell>
          <cell r="AZ466">
            <v>47.2</v>
          </cell>
          <cell r="BA466">
            <v>47.79</v>
          </cell>
          <cell r="BB466">
            <v>47.79</v>
          </cell>
          <cell r="BC466">
            <v>46.64</v>
          </cell>
          <cell r="BD466">
            <v>0</v>
          </cell>
          <cell r="BE466">
            <v>60.81</v>
          </cell>
          <cell r="BF466">
            <v>64.48</v>
          </cell>
          <cell r="BG466">
            <v>64.86</v>
          </cell>
          <cell r="BH466">
            <v>65.260000000000005</v>
          </cell>
          <cell r="BI466">
            <v>66.069999999999993</v>
          </cell>
          <cell r="BJ466">
            <v>66.88</v>
          </cell>
          <cell r="BK466">
            <v>64.48</v>
          </cell>
        </row>
        <row r="467">
          <cell r="A467"/>
          <cell r="B467"/>
          <cell r="C467"/>
          <cell r="D467"/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  <cell r="O467"/>
          <cell r="P467"/>
          <cell r="Q467"/>
          <cell r="R467"/>
          <cell r="S467"/>
          <cell r="T467"/>
          <cell r="U467"/>
          <cell r="V467"/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  <cell r="AM467"/>
          <cell r="AN467"/>
          <cell r="AO467"/>
          <cell r="AP467"/>
          <cell r="AQ467"/>
          <cell r="AR467"/>
          <cell r="AS467"/>
          <cell r="AT467"/>
          <cell r="AU467"/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/>
          <cell r="BG467"/>
          <cell r="BH467"/>
          <cell r="BI467"/>
          <cell r="BJ467"/>
          <cell r="BK467"/>
        </row>
        <row r="468">
          <cell r="A468">
            <v>7891721200182</v>
          </cell>
          <cell r="B468">
            <v>1008903270065</v>
          </cell>
          <cell r="C468">
            <v>525418303115117</v>
          </cell>
          <cell r="D468" t="str">
            <v>PANTOPRAZOL</v>
          </cell>
          <cell r="E468" t="str">
            <v>40 MG COM REV EST CT BL AL/AL X 28</v>
          </cell>
          <cell r="F468" t="str">
            <v>Comprimido revestido</v>
          </cell>
          <cell r="G468"/>
          <cell r="H468"/>
          <cell r="I468">
            <v>28</v>
          </cell>
          <cell r="J468"/>
          <cell r="K468" t="str">
            <v>Conformidade</v>
          </cell>
          <cell r="L468">
            <v>1</v>
          </cell>
          <cell r="M468" t="str">
            <v>Tarja Vermelha</v>
          </cell>
          <cell r="N468" t="str">
            <v>Não</v>
          </cell>
          <cell r="O468" t="str">
            <v>Não</v>
          </cell>
          <cell r="P468" t="str">
            <v>Não</v>
          </cell>
          <cell r="Q468" t="str">
            <v>I</v>
          </cell>
          <cell r="R468"/>
          <cell r="S468" t="str">
            <v>Genérico</v>
          </cell>
          <cell r="T468" t="str">
            <v>Monitorado</v>
          </cell>
          <cell r="U468"/>
          <cell r="V468" t="str">
            <v>164579-32-2</v>
          </cell>
          <cell r="W468"/>
          <cell r="X468"/>
          <cell r="Y468" t="str">
            <v>MG</v>
          </cell>
          <cell r="Z468">
            <v>9514</v>
          </cell>
          <cell r="AA468" t="str">
            <v>15 - INIBIDORES DA BOMBA DE PRÓTONS</v>
          </cell>
          <cell r="AB468" t="str">
            <v>N</v>
          </cell>
          <cell r="AC468" t="str">
            <v>N</v>
          </cell>
          <cell r="AD468">
            <v>0</v>
          </cell>
          <cell r="AE468" t="str">
            <v>N</v>
          </cell>
          <cell r="AF468">
            <v>0</v>
          </cell>
          <cell r="AG468">
            <v>78.37</v>
          </cell>
          <cell r="AH468">
            <v>83.09</v>
          </cell>
          <cell r="AI468">
            <v>0</v>
          </cell>
          <cell r="AJ468">
            <v>84.11</v>
          </cell>
          <cell r="AK468">
            <v>85.14</v>
          </cell>
          <cell r="AL468">
            <v>0</v>
          </cell>
          <cell r="AM468">
            <v>83.09</v>
          </cell>
          <cell r="AN468">
            <v>0</v>
          </cell>
          <cell r="AO468">
            <v>108.34</v>
          </cell>
          <cell r="AP468">
            <v>114.87</v>
          </cell>
          <cell r="AQ468">
            <v>0</v>
          </cell>
          <cell r="AR468">
            <v>116.27</v>
          </cell>
          <cell r="AS468">
            <v>117.7</v>
          </cell>
          <cell r="AT468">
            <v>0</v>
          </cell>
          <cell r="AU468">
            <v>114.87</v>
          </cell>
          <cell r="AV468">
            <v>0</v>
          </cell>
          <cell r="AW468">
            <v>82.1</v>
          </cell>
          <cell r="AX468">
            <v>87.05</v>
          </cell>
          <cell r="AY468">
            <v>87.58</v>
          </cell>
          <cell r="AZ468">
            <v>88.11</v>
          </cell>
          <cell r="BA468">
            <v>89.2</v>
          </cell>
          <cell r="BB468">
            <v>89.2</v>
          </cell>
          <cell r="BC468">
            <v>87.05</v>
          </cell>
          <cell r="BD468">
            <v>0</v>
          </cell>
          <cell r="BE468">
            <v>113.5</v>
          </cell>
          <cell r="BF468">
            <v>120.34</v>
          </cell>
          <cell r="BG468">
            <v>121.07</v>
          </cell>
          <cell r="BH468">
            <v>121.81</v>
          </cell>
          <cell r="BI468">
            <v>123.31</v>
          </cell>
          <cell r="BJ468">
            <v>124.85</v>
          </cell>
          <cell r="BK468">
            <v>120.34</v>
          </cell>
        </row>
        <row r="469">
          <cell r="A469"/>
          <cell r="B469"/>
          <cell r="C469"/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  <cell r="AQ469"/>
          <cell r="AR469"/>
          <cell r="AS469"/>
          <cell r="AT469"/>
          <cell r="AU469"/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/>
          <cell r="BG469"/>
          <cell r="BH469"/>
          <cell r="BI469"/>
          <cell r="BJ469"/>
          <cell r="BK469"/>
        </row>
        <row r="470">
          <cell r="A470"/>
          <cell r="B470"/>
          <cell r="C470"/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/>
          <cell r="S470"/>
          <cell r="T470"/>
          <cell r="U470"/>
          <cell r="V470"/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  <cell r="AM470"/>
          <cell r="AN470"/>
          <cell r="AO470"/>
          <cell r="AP470"/>
          <cell r="AQ470"/>
          <cell r="AR470"/>
          <cell r="AS470"/>
          <cell r="AT470"/>
          <cell r="AU470"/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/>
          <cell r="BG470"/>
          <cell r="BH470"/>
          <cell r="BI470"/>
          <cell r="BJ470"/>
          <cell r="BK470"/>
        </row>
        <row r="471">
          <cell r="A471">
            <v>7891721200168</v>
          </cell>
          <cell r="B471">
            <v>1008903270049</v>
          </cell>
          <cell r="C471">
            <v>525418305118113</v>
          </cell>
          <cell r="D471" t="str">
            <v>PANTOPRAZOL</v>
          </cell>
          <cell r="E471" t="str">
            <v>40 MG COM REV EST CT BL AL/AL X 7 </v>
          </cell>
          <cell r="F471" t="str">
            <v>Comprimido revestido</v>
          </cell>
          <cell r="G471"/>
          <cell r="H471"/>
          <cell r="I471">
            <v>7</v>
          </cell>
          <cell r="J471"/>
          <cell r="K471" t="str">
            <v>Conformidade</v>
          </cell>
          <cell r="L471">
            <v>1</v>
          </cell>
          <cell r="M471" t="str">
            <v>Tarja Vermelha</v>
          </cell>
          <cell r="N471" t="str">
            <v>Não</v>
          </cell>
          <cell r="O471" t="str">
            <v>Não</v>
          </cell>
          <cell r="P471" t="str">
            <v>Não</v>
          </cell>
          <cell r="Q471" t="str">
            <v>I</v>
          </cell>
          <cell r="R471"/>
          <cell r="S471" t="str">
            <v>Genérico</v>
          </cell>
          <cell r="T471" t="str">
            <v>Monitorado</v>
          </cell>
          <cell r="U471"/>
          <cell r="V471" t="str">
            <v>164579-32-2</v>
          </cell>
          <cell r="W471"/>
          <cell r="X471"/>
          <cell r="Y471" t="str">
            <v>MG</v>
          </cell>
          <cell r="Z471">
            <v>9514</v>
          </cell>
          <cell r="AA471" t="str">
            <v>15 - INIBIDORES DA BOMBA DE PRÓTONS</v>
          </cell>
          <cell r="AB471" t="str">
            <v>N</v>
          </cell>
          <cell r="AC471" t="str">
            <v>N</v>
          </cell>
          <cell r="AD471">
            <v>0</v>
          </cell>
          <cell r="AE471" t="str">
            <v>N</v>
          </cell>
          <cell r="AF471">
            <v>0</v>
          </cell>
          <cell r="AG471">
            <v>20.29</v>
          </cell>
          <cell r="AH471">
            <v>21.51</v>
          </cell>
          <cell r="AI471">
            <v>0</v>
          </cell>
          <cell r="AJ471">
            <v>21.77</v>
          </cell>
          <cell r="AK471">
            <v>22.04</v>
          </cell>
          <cell r="AL471">
            <v>0</v>
          </cell>
          <cell r="AM471">
            <v>21.51</v>
          </cell>
          <cell r="AN471">
            <v>0</v>
          </cell>
          <cell r="AO471">
            <v>28.04</v>
          </cell>
          <cell r="AP471">
            <v>29.73</v>
          </cell>
          <cell r="AQ471">
            <v>0</v>
          </cell>
          <cell r="AR471">
            <v>30.09</v>
          </cell>
          <cell r="AS471">
            <v>30.46</v>
          </cell>
          <cell r="AT471">
            <v>0</v>
          </cell>
          <cell r="AU471">
            <v>29.73</v>
          </cell>
          <cell r="AV471">
            <v>0</v>
          </cell>
          <cell r="AW471">
            <v>21.25</v>
          </cell>
          <cell r="AX471">
            <v>22.53</v>
          </cell>
          <cell r="AY471">
            <v>22.67</v>
          </cell>
          <cell r="AZ471">
            <v>22.81</v>
          </cell>
          <cell r="BA471">
            <v>23.09</v>
          </cell>
          <cell r="BB471">
            <v>23.09</v>
          </cell>
          <cell r="BC471">
            <v>22.53</v>
          </cell>
          <cell r="BD471">
            <v>0</v>
          </cell>
          <cell r="BE471">
            <v>29.38</v>
          </cell>
          <cell r="BF471">
            <v>31.15</v>
          </cell>
          <cell r="BG471">
            <v>31.34</v>
          </cell>
          <cell r="BH471">
            <v>31.53</v>
          </cell>
          <cell r="BI471">
            <v>31.92</v>
          </cell>
          <cell r="BJ471">
            <v>32.32</v>
          </cell>
          <cell r="BK471">
            <v>31.15</v>
          </cell>
        </row>
        <row r="472">
          <cell r="A472"/>
          <cell r="B472"/>
          <cell r="C472"/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/>
          <cell r="U472"/>
          <cell r="V472"/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  <cell r="AM472"/>
          <cell r="AN472"/>
          <cell r="AO472"/>
          <cell r="AP472"/>
          <cell r="AQ472"/>
          <cell r="AR472"/>
          <cell r="AS472"/>
          <cell r="AT472"/>
          <cell r="AU472"/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/>
          <cell r="BG472"/>
          <cell r="BH472"/>
          <cell r="BI472"/>
          <cell r="BJ472"/>
          <cell r="BK472"/>
        </row>
        <row r="473">
          <cell r="A473">
            <v>7891721238352</v>
          </cell>
          <cell r="B473">
            <v>1008903000017</v>
          </cell>
          <cell r="C473">
            <v>525417602135121</v>
          </cell>
          <cell r="D473" t="str">
            <v>PARACETAMOL</v>
          </cell>
          <cell r="E473" t="str">
            <v>GOTAS - 200MG/ML SOL OR CT FR PLAS OPC GOT X 15 ML</v>
          </cell>
          <cell r="F473" t="str">
            <v>SOLUÇÃO ORAL</v>
          </cell>
          <cell r="G473">
            <v>1</v>
          </cell>
          <cell r="H473" t="str">
            <v>FRASCO</v>
          </cell>
          <cell r="I473">
            <v>15</v>
          </cell>
          <cell r="J473" t="str">
            <v>ML</v>
          </cell>
          <cell r="K473" t="str">
            <v>Conformidade</v>
          </cell>
          <cell r="L473">
            <v>1</v>
          </cell>
          <cell r="M473" t="str">
            <v>Venda Livre</v>
          </cell>
          <cell r="N473" t="str">
            <v>Não</v>
          </cell>
          <cell r="O473" t="str">
            <v>Não</v>
          </cell>
          <cell r="P473" t="str">
            <v>Não</v>
          </cell>
          <cell r="Q473" t="str">
            <v>N</v>
          </cell>
          <cell r="R473"/>
          <cell r="S473" t="str">
            <v>Genérico</v>
          </cell>
          <cell r="T473" t="str">
            <v>Liberado</v>
          </cell>
          <cell r="U473" t="str">
            <v>Comunicado nº 7, de 25 de agosto de 2004</v>
          </cell>
          <cell r="V473" t="str">
            <v>103-90-2</v>
          </cell>
          <cell r="W473"/>
          <cell r="X473"/>
          <cell r="Y473" t="str">
            <v>MG/ML</v>
          </cell>
          <cell r="Z473">
            <v>6827</v>
          </cell>
          <cell r="AA473" t="str">
            <v>488 - ANALGÉSICOS NÃO NARCÓTICOS E ANTIPIRÉTICOS</v>
          </cell>
          <cell r="AB473" t="str">
            <v>N</v>
          </cell>
          <cell r="AC473" t="str">
            <v>N</v>
          </cell>
          <cell r="AD473">
            <v>0</v>
          </cell>
          <cell r="AE473" t="str">
            <v>N</v>
          </cell>
          <cell r="AF473">
            <v>0</v>
          </cell>
          <cell r="AG473">
            <v>7.13</v>
          </cell>
          <cell r="AH473">
            <v>7.62</v>
          </cell>
          <cell r="AI473">
            <v>0</v>
          </cell>
          <cell r="AJ473">
            <v>7.73</v>
          </cell>
          <cell r="AK473">
            <v>7.84</v>
          </cell>
          <cell r="AL473">
            <v>0</v>
          </cell>
          <cell r="AM473">
            <v>6.64</v>
          </cell>
          <cell r="AN473">
            <v>0</v>
          </cell>
          <cell r="AO473">
            <v>9.52</v>
          </cell>
          <cell r="AP473">
            <v>10.16</v>
          </cell>
          <cell r="AQ473">
            <v>0</v>
          </cell>
          <cell r="AR473">
            <v>10.3</v>
          </cell>
          <cell r="AS473">
            <v>10.44</v>
          </cell>
          <cell r="AT473">
            <v>0</v>
          </cell>
          <cell r="AU473">
            <v>9.18</v>
          </cell>
          <cell r="AV473">
            <v>0</v>
          </cell>
          <cell r="AW473">
            <v>0.92</v>
          </cell>
          <cell r="AX473">
            <v>0.99</v>
          </cell>
          <cell r="AY473">
            <v>0.99</v>
          </cell>
          <cell r="AZ473">
            <v>1</v>
          </cell>
          <cell r="BA473">
            <v>1.01</v>
          </cell>
          <cell r="BB473">
            <v>1.01</v>
          </cell>
          <cell r="BC473">
            <v>0.86</v>
          </cell>
          <cell r="BD473">
            <v>0</v>
          </cell>
          <cell r="BE473">
            <v>1.23</v>
          </cell>
          <cell r="BF473">
            <v>1.32</v>
          </cell>
          <cell r="BG473">
            <v>1.32</v>
          </cell>
          <cell r="BH473">
            <v>1.33</v>
          </cell>
          <cell r="BI473">
            <v>1.34</v>
          </cell>
          <cell r="BJ473">
            <v>1.37</v>
          </cell>
          <cell r="BK473">
            <v>1.19</v>
          </cell>
        </row>
        <row r="474">
          <cell r="A474">
            <v>7891721238345</v>
          </cell>
          <cell r="B474">
            <v>1008903080010</v>
          </cell>
          <cell r="C474">
            <v>525417601112126</v>
          </cell>
          <cell r="D474" t="str">
            <v>PARACETAMOL</v>
          </cell>
          <cell r="E474" t="str">
            <v>750MG COM REVES CT BL AL PLAS AMB X 20</v>
          </cell>
          <cell r="F474" t="str">
            <v>Comprimido revestido</v>
          </cell>
          <cell r="G474"/>
          <cell r="H474"/>
          <cell r="I474">
            <v>20</v>
          </cell>
          <cell r="J474"/>
          <cell r="K474" t="str">
            <v>Conformidade</v>
          </cell>
          <cell r="L474">
            <v>1</v>
          </cell>
          <cell r="M474" t="str">
            <v>Venda Livre</v>
          </cell>
          <cell r="N474" t="str">
            <v>Não</v>
          </cell>
          <cell r="O474" t="str">
            <v>Não</v>
          </cell>
          <cell r="P474" t="str">
            <v>Não</v>
          </cell>
          <cell r="Q474" t="str">
            <v>N</v>
          </cell>
          <cell r="R474"/>
          <cell r="S474" t="str">
            <v>Genérico</v>
          </cell>
          <cell r="T474" t="str">
            <v>Liberado</v>
          </cell>
          <cell r="U474" t="str">
            <v>Comunicado nº 15, de 1 de setembro de 2005</v>
          </cell>
          <cell r="V474" t="str">
            <v>103-90-2</v>
          </cell>
          <cell r="W474"/>
          <cell r="X474"/>
          <cell r="Y474" t="str">
            <v>MG</v>
          </cell>
          <cell r="Z474">
            <v>6827</v>
          </cell>
          <cell r="AA474" t="str">
            <v>488 - ANALGÉSICOS NÃO NARCÓTICOS E ANTIPIRÉTICOS</v>
          </cell>
          <cell r="AB474" t="str">
            <v>N</v>
          </cell>
          <cell r="AC474" t="str">
            <v>N</v>
          </cell>
          <cell r="AD474">
            <v>0</v>
          </cell>
          <cell r="AE474" t="str">
            <v>N</v>
          </cell>
          <cell r="AF474">
            <v>0</v>
          </cell>
          <cell r="AG474">
            <v>11.08</v>
          </cell>
          <cell r="AH474">
            <v>11.85</v>
          </cell>
          <cell r="AI474">
            <v>0</v>
          </cell>
          <cell r="AJ474">
            <v>12.02</v>
          </cell>
          <cell r="AK474">
            <v>12.19</v>
          </cell>
          <cell r="AL474">
            <v>0</v>
          </cell>
          <cell r="AM474">
            <v>10.32</v>
          </cell>
          <cell r="AN474">
            <v>0</v>
          </cell>
          <cell r="AO474">
            <v>14.8</v>
          </cell>
          <cell r="AP474">
            <v>15.8</v>
          </cell>
          <cell r="AQ474">
            <v>0</v>
          </cell>
          <cell r="AR474">
            <v>16.010000000000002</v>
          </cell>
          <cell r="AS474">
            <v>16.23</v>
          </cell>
          <cell r="AT474">
            <v>0</v>
          </cell>
          <cell r="AU474">
            <v>14.27</v>
          </cell>
          <cell r="AV474">
            <v>0</v>
          </cell>
          <cell r="AW474">
            <v>0.92</v>
          </cell>
          <cell r="AX474">
            <v>0.99</v>
          </cell>
          <cell r="AY474">
            <v>0.99</v>
          </cell>
          <cell r="AZ474">
            <v>1</v>
          </cell>
          <cell r="BA474">
            <v>1.01</v>
          </cell>
          <cell r="BB474">
            <v>1.01</v>
          </cell>
          <cell r="BC474">
            <v>0.86</v>
          </cell>
          <cell r="BD474">
            <v>0</v>
          </cell>
          <cell r="BE474">
            <v>1.23</v>
          </cell>
          <cell r="BF474">
            <v>1.32</v>
          </cell>
          <cell r="BG474">
            <v>1.32</v>
          </cell>
          <cell r="BH474">
            <v>1.33</v>
          </cell>
          <cell r="BI474">
            <v>1.34</v>
          </cell>
          <cell r="BJ474">
            <v>1.37</v>
          </cell>
          <cell r="BK474">
            <v>1.19</v>
          </cell>
        </row>
        <row r="475">
          <cell r="A475">
            <v>7891721024030</v>
          </cell>
          <cell r="B475">
            <v>1008903600014</v>
          </cell>
          <cell r="C475">
            <v>525421101110319</v>
          </cell>
          <cell r="D475" t="str">
            <v>PERGOVERIS</v>
          </cell>
          <cell r="E475" t="str">
            <v>150 UI/75 UI PÓ LIOF INJ CT FA VD INC + FA DIL X 1 ML</v>
          </cell>
          <cell r="F475" t="str">
            <v>PÓ LIOFILIZADO INJETÁVEL</v>
          </cell>
          <cell r="G475">
            <v>1</v>
          </cell>
          <cell r="H475" t="str">
            <v>FRASCO-AMPOLA</v>
          </cell>
          <cell r="I475"/>
          <cell r="J475"/>
          <cell r="K475" t="str">
            <v>Conformidade</v>
          </cell>
          <cell r="L475">
            <v>3</v>
          </cell>
          <cell r="M475" t="str">
            <v>Tarja Vermelha</v>
          </cell>
          <cell r="N475" t="str">
            <v>Não</v>
          </cell>
          <cell r="O475" t="str">
            <v>Não</v>
          </cell>
          <cell r="P475" t="str">
            <v>Não</v>
          </cell>
          <cell r="Q475" t="str">
            <v>N</v>
          </cell>
          <cell r="R475"/>
          <cell r="S475" t="str">
            <v>Genérico</v>
          </cell>
          <cell r="T475" t="str">
            <v>Monitorado</v>
          </cell>
          <cell r="U475"/>
          <cell r="V475" t="str">
            <v>152923-57-4,56832-30-5</v>
          </cell>
          <cell r="W475"/>
          <cell r="X475"/>
          <cell r="Y475" t="str">
            <v>UI</v>
          </cell>
          <cell r="Z475">
            <v>517.00512000000003</v>
          </cell>
          <cell r="AA475" t="str">
            <v>270 - GONADOTROFINAS INCLUINDO OUTROS ESTIMULANTES PARA OVULAÇÃO</v>
          </cell>
          <cell r="AB475" t="str">
            <v>N</v>
          </cell>
          <cell r="AC475" t="str">
            <v>N</v>
          </cell>
          <cell r="AD475">
            <v>0</v>
          </cell>
          <cell r="AE475" t="str">
            <v>N</v>
          </cell>
          <cell r="AF475">
            <v>0</v>
          </cell>
          <cell r="AG475">
            <v>256.89999999999998</v>
          </cell>
          <cell r="AH475">
            <v>274.72000000000003</v>
          </cell>
          <cell r="AI475">
            <v>0</v>
          </cell>
          <cell r="AJ475">
            <v>278.58</v>
          </cell>
          <cell r="AK475">
            <v>282.56</v>
          </cell>
          <cell r="AL475">
            <v>0</v>
          </cell>
          <cell r="AM475">
            <v>239.15</v>
          </cell>
          <cell r="AN475">
            <v>0</v>
          </cell>
          <cell r="AO475">
            <v>343.16</v>
          </cell>
          <cell r="AP475">
            <v>366.18</v>
          </cell>
          <cell r="AQ475">
            <v>0</v>
          </cell>
          <cell r="AR475">
            <v>371.16</v>
          </cell>
          <cell r="AS475">
            <v>376.28</v>
          </cell>
          <cell r="AT475">
            <v>0</v>
          </cell>
          <cell r="AU475">
            <v>330.61</v>
          </cell>
          <cell r="AV475">
            <v>0</v>
          </cell>
          <cell r="AW475">
            <v>260.39</v>
          </cell>
          <cell r="AX475">
            <v>278.45</v>
          </cell>
          <cell r="AY475">
            <v>280.39999999999998</v>
          </cell>
          <cell r="AZ475">
            <v>282.37</v>
          </cell>
          <cell r="BA475">
            <v>286.39999999999998</v>
          </cell>
          <cell r="BB475">
            <v>286.39999999999998</v>
          </cell>
          <cell r="BC475">
            <v>242.4</v>
          </cell>
          <cell r="BD475">
            <v>0</v>
          </cell>
          <cell r="BE475">
            <v>347.82</v>
          </cell>
          <cell r="BF475">
            <v>371.15</v>
          </cell>
          <cell r="BG475">
            <v>373.67</v>
          </cell>
          <cell r="BH475">
            <v>376.2</v>
          </cell>
          <cell r="BI475">
            <v>381.39</v>
          </cell>
          <cell r="BJ475">
            <v>386.72</v>
          </cell>
          <cell r="BK475">
            <v>335.1</v>
          </cell>
        </row>
        <row r="476">
          <cell r="A476"/>
          <cell r="B476"/>
          <cell r="C476"/>
          <cell r="D476"/>
          <cell r="E476"/>
          <cell r="F476"/>
          <cell r="G476"/>
          <cell r="H476"/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  <cell r="AQ476"/>
          <cell r="AR476"/>
          <cell r="AS476"/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/>
          <cell r="BG476"/>
          <cell r="BH476"/>
          <cell r="BI476"/>
          <cell r="BJ476"/>
          <cell r="BK476"/>
        </row>
        <row r="477">
          <cell r="A477"/>
          <cell r="B477"/>
          <cell r="C477"/>
          <cell r="D477"/>
          <cell r="E477"/>
          <cell r="F477"/>
          <cell r="G477"/>
          <cell r="H477"/>
          <cell r="I477"/>
          <cell r="J477"/>
          <cell r="K477"/>
          <cell r="L477"/>
          <cell r="M477"/>
          <cell r="N477"/>
          <cell r="O477"/>
          <cell r="P477"/>
          <cell r="Q477"/>
          <cell r="R477"/>
          <cell r="S477"/>
          <cell r="T477"/>
          <cell r="U477"/>
          <cell r="V477"/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  <cell r="AM477"/>
          <cell r="AN477"/>
          <cell r="AO477"/>
          <cell r="AP477"/>
          <cell r="AQ477"/>
          <cell r="AR477"/>
          <cell r="AS477"/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/>
          <cell r="BG477"/>
          <cell r="BH477"/>
          <cell r="BI477"/>
          <cell r="BJ477"/>
          <cell r="BK477"/>
        </row>
        <row r="478">
          <cell r="A478"/>
          <cell r="B478"/>
          <cell r="C478"/>
          <cell r="D478"/>
          <cell r="E478"/>
          <cell r="F478"/>
          <cell r="G478"/>
          <cell r="H478"/>
          <cell r="I478"/>
          <cell r="J478"/>
          <cell r="K478"/>
          <cell r="L478"/>
          <cell r="M478"/>
          <cell r="N478"/>
          <cell r="O478"/>
          <cell r="P478"/>
          <cell r="Q478"/>
          <cell r="R478"/>
          <cell r="S478"/>
          <cell r="T478"/>
          <cell r="U478"/>
          <cell r="V478"/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  <cell r="AM478"/>
          <cell r="AN478"/>
          <cell r="AO478"/>
          <cell r="AP478"/>
          <cell r="AQ478"/>
          <cell r="AR478"/>
          <cell r="AS478"/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/>
          <cell r="BG478"/>
          <cell r="BH478"/>
          <cell r="BI478"/>
          <cell r="BJ478"/>
          <cell r="BK478"/>
        </row>
        <row r="479">
          <cell r="A479">
            <v>7891721019739</v>
          </cell>
          <cell r="B479">
            <v>1008903620041</v>
          </cell>
          <cell r="C479">
            <v>525421202111116</v>
          </cell>
          <cell r="D479" t="str">
            <v>pravastatina sódica</v>
          </cell>
          <cell r="E479" t="str">
            <v>10 MG COM CT BL AL/AL X 30</v>
          </cell>
          <cell r="F479" t="str">
            <v>Comprimido</v>
          </cell>
          <cell r="G479"/>
          <cell r="H479"/>
          <cell r="I479">
            <v>30</v>
          </cell>
          <cell r="J479"/>
          <cell r="K479" t="str">
            <v>Conformidade</v>
          </cell>
          <cell r="L479">
            <v>1</v>
          </cell>
          <cell r="M479" t="str">
            <v>Tarja Vermelha</v>
          </cell>
          <cell r="N479" t="str">
            <v>Não</v>
          </cell>
          <cell r="O479" t="str">
            <v>Sim</v>
          </cell>
          <cell r="P479" t="str">
            <v>Sim</v>
          </cell>
          <cell r="Q479" t="str">
            <v>I</v>
          </cell>
          <cell r="R479"/>
          <cell r="S479" t="str">
            <v>Genérico</v>
          </cell>
          <cell r="T479" t="str">
            <v>Monitorado</v>
          </cell>
          <cell r="U479"/>
          <cell r="V479" t="str">
            <v>81131-70-6</v>
          </cell>
          <cell r="W479"/>
          <cell r="X479"/>
          <cell r="Y479" t="str">
            <v>MG</v>
          </cell>
          <cell r="Z479">
            <v>7316</v>
          </cell>
          <cell r="AA479" t="str">
            <v>213 - ESTATINAS, INIBIDORES DA REDUTASE HMG-CoA</v>
          </cell>
          <cell r="AB479" t="str">
            <v>N</v>
          </cell>
          <cell r="AC479" t="str">
            <v>N</v>
          </cell>
          <cell r="AD479">
            <v>0</v>
          </cell>
          <cell r="AE479" t="str">
            <v>N</v>
          </cell>
          <cell r="AF479">
            <v>0</v>
          </cell>
          <cell r="AG479">
            <v>34.82</v>
          </cell>
          <cell r="AH479">
            <v>36.92</v>
          </cell>
          <cell r="AI479">
            <v>0</v>
          </cell>
          <cell r="AJ479">
            <v>37.369999999999997</v>
          </cell>
          <cell r="AK479">
            <v>37.83</v>
          </cell>
          <cell r="AL479">
            <v>0</v>
          </cell>
          <cell r="AM479">
            <v>36.92</v>
          </cell>
          <cell r="AN479">
            <v>0</v>
          </cell>
          <cell r="AO479">
            <v>48.14</v>
          </cell>
          <cell r="AP479">
            <v>51.04</v>
          </cell>
          <cell r="AQ479">
            <v>0</v>
          </cell>
          <cell r="AR479">
            <v>51.67</v>
          </cell>
          <cell r="AS479">
            <v>52.3</v>
          </cell>
          <cell r="AT479">
            <v>0</v>
          </cell>
          <cell r="AU479">
            <v>51.04</v>
          </cell>
          <cell r="AV479">
            <v>0</v>
          </cell>
          <cell r="AW479">
            <v>36.479999999999997</v>
          </cell>
          <cell r="AX479">
            <v>38.68</v>
          </cell>
          <cell r="AY479">
            <v>38.909999999999997</v>
          </cell>
          <cell r="AZ479">
            <v>39.15</v>
          </cell>
          <cell r="BA479">
            <v>39.630000000000003</v>
          </cell>
          <cell r="BB479">
            <v>39.630000000000003</v>
          </cell>
          <cell r="BC479">
            <v>38.68</v>
          </cell>
          <cell r="BD479">
            <v>0</v>
          </cell>
          <cell r="BE479">
            <v>50.43</v>
          </cell>
          <cell r="BF479">
            <v>53.47</v>
          </cell>
          <cell r="BG479">
            <v>53.79</v>
          </cell>
          <cell r="BH479">
            <v>54.12</v>
          </cell>
          <cell r="BI479">
            <v>54.79</v>
          </cell>
          <cell r="BJ479">
            <v>55.48</v>
          </cell>
          <cell r="BK479">
            <v>53.47</v>
          </cell>
        </row>
        <row r="480">
          <cell r="A480">
            <v>7891721019753</v>
          </cell>
          <cell r="B480">
            <v>1008903620031</v>
          </cell>
          <cell r="C480">
            <v>525421203118114</v>
          </cell>
          <cell r="D480" t="str">
            <v>pravastatina sódica</v>
          </cell>
          <cell r="E480" t="str">
            <v>20 MG COM CT BL AL/AL X 30</v>
          </cell>
          <cell r="F480" t="str">
            <v>Comprimido</v>
          </cell>
          <cell r="G480"/>
          <cell r="H480"/>
          <cell r="I480">
            <v>30</v>
          </cell>
          <cell r="J480"/>
          <cell r="K480" t="str">
            <v>Conformidade</v>
          </cell>
          <cell r="L480">
            <v>1</v>
          </cell>
          <cell r="M480" t="str">
            <v>Tarja Vermelha</v>
          </cell>
          <cell r="N480" t="str">
            <v>Não</v>
          </cell>
          <cell r="O480" t="str">
            <v>Sim</v>
          </cell>
          <cell r="P480" t="str">
            <v>Sim</v>
          </cell>
          <cell r="Q480" t="str">
            <v>I</v>
          </cell>
          <cell r="R480"/>
          <cell r="S480" t="str">
            <v>Genérico</v>
          </cell>
          <cell r="T480" t="str">
            <v>Monitorado</v>
          </cell>
          <cell r="U480"/>
          <cell r="V480" t="str">
            <v>81131-70-6</v>
          </cell>
          <cell r="W480"/>
          <cell r="X480"/>
          <cell r="Y480" t="str">
            <v>MG</v>
          </cell>
          <cell r="Z480">
            <v>7316</v>
          </cell>
          <cell r="AA480" t="str">
            <v>213 - ESTATINAS, INIBIDORES DA REDUTASE HMG-CoA</v>
          </cell>
          <cell r="AB480" t="str">
            <v>N</v>
          </cell>
          <cell r="AC480" t="str">
            <v>N</v>
          </cell>
          <cell r="AD480">
            <v>0</v>
          </cell>
          <cell r="AE480" t="str">
            <v>N</v>
          </cell>
          <cell r="AF480">
            <v>0</v>
          </cell>
          <cell r="AG480">
            <v>51.45</v>
          </cell>
          <cell r="AH480">
            <v>54.55</v>
          </cell>
          <cell r="AI480">
            <v>0</v>
          </cell>
          <cell r="AJ480">
            <v>55.22</v>
          </cell>
          <cell r="AK480">
            <v>55.9</v>
          </cell>
          <cell r="AL480">
            <v>0</v>
          </cell>
          <cell r="AM480">
            <v>54.55</v>
          </cell>
          <cell r="AN480">
            <v>0</v>
          </cell>
          <cell r="AO480">
            <v>71.13</v>
          </cell>
          <cell r="AP480">
            <v>75.41</v>
          </cell>
          <cell r="AQ480">
            <v>0</v>
          </cell>
          <cell r="AR480">
            <v>76.33</v>
          </cell>
          <cell r="AS480">
            <v>77.28</v>
          </cell>
          <cell r="AT480">
            <v>0</v>
          </cell>
          <cell r="AU480">
            <v>75.41</v>
          </cell>
          <cell r="AV480">
            <v>0</v>
          </cell>
          <cell r="AW480">
            <v>53.9</v>
          </cell>
          <cell r="AX480">
            <v>57.15</v>
          </cell>
          <cell r="AY480">
            <v>57.5</v>
          </cell>
          <cell r="AZ480">
            <v>57.85</v>
          </cell>
          <cell r="BA480">
            <v>58.56</v>
          </cell>
          <cell r="BB480">
            <v>58.56</v>
          </cell>
          <cell r="BC480">
            <v>57.15</v>
          </cell>
          <cell r="BD480">
            <v>0</v>
          </cell>
          <cell r="BE480">
            <v>74.510000000000005</v>
          </cell>
          <cell r="BF480">
            <v>79.010000000000005</v>
          </cell>
          <cell r="BG480">
            <v>79.489999999999995</v>
          </cell>
          <cell r="BH480">
            <v>79.97</v>
          </cell>
          <cell r="BI480">
            <v>80.959999999999994</v>
          </cell>
          <cell r="BJ480">
            <v>81.96</v>
          </cell>
          <cell r="BK480">
            <v>79.010000000000005</v>
          </cell>
        </row>
        <row r="481">
          <cell r="A481"/>
          <cell r="B481"/>
          <cell r="C481"/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  <cell r="AM481"/>
          <cell r="AN481"/>
          <cell r="AO481"/>
          <cell r="AP481"/>
          <cell r="AQ481"/>
          <cell r="AR481"/>
          <cell r="AS481"/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/>
          <cell r="BG481"/>
          <cell r="BH481"/>
          <cell r="BI481"/>
          <cell r="BJ481"/>
          <cell r="BK481"/>
        </row>
        <row r="482">
          <cell r="A482">
            <v>7891721019777</v>
          </cell>
          <cell r="B482">
            <v>1008903620066</v>
          </cell>
          <cell r="C482">
            <v>525421201115118</v>
          </cell>
          <cell r="D482" t="str">
            <v>pravastatina sódica</v>
          </cell>
          <cell r="E482" t="str">
            <v>40 MG COM CT BL AL/AL X 30</v>
          </cell>
          <cell r="F482" t="str">
            <v>Comprimido</v>
          </cell>
          <cell r="G482"/>
          <cell r="H482"/>
          <cell r="I482">
            <v>30</v>
          </cell>
          <cell r="J482"/>
          <cell r="K482" t="str">
            <v>Conformidade</v>
          </cell>
          <cell r="L482">
            <v>1</v>
          </cell>
          <cell r="M482" t="str">
            <v>Tarja Vermelha</v>
          </cell>
          <cell r="N482" t="str">
            <v>Não</v>
          </cell>
          <cell r="O482" t="str">
            <v>Sim</v>
          </cell>
          <cell r="P482" t="str">
            <v>Sim</v>
          </cell>
          <cell r="Q482" t="str">
            <v>I</v>
          </cell>
          <cell r="R482"/>
          <cell r="S482" t="str">
            <v>Genérico</v>
          </cell>
          <cell r="T482" t="str">
            <v>Monitorado</v>
          </cell>
          <cell r="U482"/>
          <cell r="V482" t="str">
            <v>81131-70-6</v>
          </cell>
          <cell r="W482"/>
          <cell r="X482"/>
          <cell r="Y482" t="str">
            <v>MG</v>
          </cell>
          <cell r="Z482">
            <v>7316</v>
          </cell>
          <cell r="AA482" t="str">
            <v>213 - ESTATINAS, INIBIDORES DA REDUTASE HMG-CoA</v>
          </cell>
          <cell r="AB482" t="str">
            <v>N</v>
          </cell>
          <cell r="AC482" t="str">
            <v>N</v>
          </cell>
          <cell r="AD482">
            <v>0</v>
          </cell>
          <cell r="AE482" t="str">
            <v>N</v>
          </cell>
          <cell r="AF482">
            <v>0</v>
          </cell>
          <cell r="AG482">
            <v>102.91</v>
          </cell>
          <cell r="AH482">
            <v>109.11</v>
          </cell>
          <cell r="AI482">
            <v>0</v>
          </cell>
          <cell r="AJ482">
            <v>110.44</v>
          </cell>
          <cell r="AK482">
            <v>111.8</v>
          </cell>
          <cell r="AL482">
            <v>0</v>
          </cell>
          <cell r="AM482">
            <v>109.11</v>
          </cell>
          <cell r="AN482">
            <v>0</v>
          </cell>
          <cell r="AO482">
            <v>142.27000000000001</v>
          </cell>
          <cell r="AP482">
            <v>150.84</v>
          </cell>
          <cell r="AQ482">
            <v>0</v>
          </cell>
          <cell r="AR482">
            <v>152.68</v>
          </cell>
          <cell r="AS482">
            <v>154.56</v>
          </cell>
          <cell r="AT482">
            <v>0</v>
          </cell>
          <cell r="AU482">
            <v>150.84</v>
          </cell>
          <cell r="AV482">
            <v>0</v>
          </cell>
          <cell r="AW482">
            <v>107.81</v>
          </cell>
          <cell r="AX482">
            <v>114.3</v>
          </cell>
          <cell r="AY482">
            <v>114.99</v>
          </cell>
          <cell r="AZ482">
            <v>115.7</v>
          </cell>
          <cell r="BA482">
            <v>117.12</v>
          </cell>
          <cell r="BB482">
            <v>117.12</v>
          </cell>
          <cell r="BC482">
            <v>114.3</v>
          </cell>
          <cell r="BD482">
            <v>0</v>
          </cell>
          <cell r="BE482">
            <v>149.04</v>
          </cell>
          <cell r="BF482">
            <v>158.01</v>
          </cell>
          <cell r="BG482">
            <v>158.97</v>
          </cell>
          <cell r="BH482">
            <v>159.94</v>
          </cell>
          <cell r="BI482">
            <v>161.91</v>
          </cell>
          <cell r="BJ482">
            <v>163.94</v>
          </cell>
          <cell r="BK482">
            <v>158.01</v>
          </cell>
        </row>
        <row r="483">
          <cell r="A483">
            <v>7891721028120</v>
          </cell>
          <cell r="B483">
            <v>1008903830044</v>
          </cell>
          <cell r="C483">
            <v>525415070046206</v>
          </cell>
          <cell r="D483" t="str">
            <v>PREGABALINA</v>
          </cell>
          <cell r="E483" t="str">
            <v>150 MG CAP GEL DURA CT BL AL PVC/ACLAR X 30</v>
          </cell>
          <cell r="F483" t="str">
            <v>Cápsula dura</v>
          </cell>
          <cell r="G483"/>
          <cell r="H483"/>
          <cell r="I483">
            <v>30</v>
          </cell>
          <cell r="J483"/>
          <cell r="K483" t="str">
            <v>Conformidade</v>
          </cell>
          <cell r="L483">
            <v>1</v>
          </cell>
          <cell r="M483" t="str">
            <v>Tarja Vermelha</v>
          </cell>
          <cell r="N483" t="str">
            <v>Não</v>
          </cell>
          <cell r="O483" t="str">
            <v>Não</v>
          </cell>
          <cell r="P483" t="str">
            <v>Não</v>
          </cell>
          <cell r="Q483" t="str">
            <v>I</v>
          </cell>
          <cell r="R483"/>
          <cell r="S483" t="str">
            <v>Genérico</v>
          </cell>
          <cell r="T483" t="str">
            <v>Monitorado</v>
          </cell>
          <cell r="U483"/>
          <cell r="V483" t="str">
            <v>148553-50-8</v>
          </cell>
          <cell r="W483"/>
          <cell r="X483"/>
          <cell r="Y483"/>
          <cell r="Z483">
            <v>7343</v>
          </cell>
          <cell r="AA483" t="str">
            <v>491 - ANTICONVULSIVANTES INCLUINDO ANTIEPILÉPTICOS</v>
          </cell>
          <cell r="AB483" t="str">
            <v>N</v>
          </cell>
          <cell r="AC483" t="str">
            <v>N</v>
          </cell>
          <cell r="AD483"/>
          <cell r="AE483" t="str">
            <v>S</v>
          </cell>
          <cell r="AF483">
            <v>0</v>
          </cell>
          <cell r="AG483">
            <v>85.59</v>
          </cell>
          <cell r="AH483">
            <v>90.75</v>
          </cell>
          <cell r="AI483">
            <v>0</v>
          </cell>
          <cell r="AJ483">
            <v>91.86</v>
          </cell>
          <cell r="AK483">
            <v>92.99</v>
          </cell>
          <cell r="AL483">
            <v>0</v>
          </cell>
          <cell r="AM483">
            <v>90.75</v>
          </cell>
          <cell r="AN483">
            <v>0</v>
          </cell>
          <cell r="AO483">
            <v>118.32</v>
          </cell>
          <cell r="AP483">
            <v>125.46</v>
          </cell>
          <cell r="AQ483">
            <v>0</v>
          </cell>
          <cell r="AR483">
            <v>126.99</v>
          </cell>
          <cell r="AS483">
            <v>128.55000000000001</v>
          </cell>
          <cell r="AT483">
            <v>0</v>
          </cell>
          <cell r="AU483">
            <v>125.46</v>
          </cell>
          <cell r="AV483">
            <v>0</v>
          </cell>
          <cell r="AW483">
            <v>89.67</v>
          </cell>
          <cell r="AX483">
            <v>95.07</v>
          </cell>
          <cell r="AY483">
            <v>95.65</v>
          </cell>
          <cell r="AZ483">
            <v>96.23</v>
          </cell>
          <cell r="BA483">
            <v>97.42</v>
          </cell>
          <cell r="BB483">
            <v>97.42</v>
          </cell>
          <cell r="BC483">
            <v>95.07</v>
          </cell>
          <cell r="BD483">
            <v>0</v>
          </cell>
          <cell r="BE483">
            <v>123.96</v>
          </cell>
          <cell r="BF483">
            <v>131.43</v>
          </cell>
          <cell r="BG483">
            <v>132.22999999999999</v>
          </cell>
          <cell r="BH483">
            <v>133.03</v>
          </cell>
          <cell r="BI483">
            <v>134.68</v>
          </cell>
          <cell r="BJ483">
            <v>136.36000000000001</v>
          </cell>
          <cell r="BK483">
            <v>131.43</v>
          </cell>
        </row>
        <row r="484">
          <cell r="A484"/>
          <cell r="B484"/>
          <cell r="C484"/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  <cell r="AQ484"/>
          <cell r="AR484"/>
          <cell r="AS484"/>
          <cell r="AT484"/>
          <cell r="AU484"/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/>
          <cell r="BG484"/>
          <cell r="BH484"/>
          <cell r="BI484"/>
          <cell r="BJ484"/>
          <cell r="BK484"/>
        </row>
        <row r="485">
          <cell r="A485">
            <v>7891721028113</v>
          </cell>
          <cell r="B485">
            <v>1008903830028</v>
          </cell>
          <cell r="C485">
            <v>525415070046106</v>
          </cell>
          <cell r="D485" t="str">
            <v>PREGABALINA</v>
          </cell>
          <cell r="E485" t="str">
            <v>75 MG CAP GEL DURA CT BL AL PVC/ACLAR X 30</v>
          </cell>
          <cell r="F485" t="str">
            <v>Cápsula dura</v>
          </cell>
          <cell r="G485"/>
          <cell r="H485"/>
          <cell r="I485">
            <v>30</v>
          </cell>
          <cell r="J485"/>
          <cell r="K485" t="str">
            <v>Conformidade</v>
          </cell>
          <cell r="L485">
            <v>1</v>
          </cell>
          <cell r="M485" t="str">
            <v>Tarja Vermelha</v>
          </cell>
          <cell r="N485" t="str">
            <v>Não</v>
          </cell>
          <cell r="O485" t="str">
            <v>Não</v>
          </cell>
          <cell r="P485" t="str">
            <v>Não</v>
          </cell>
          <cell r="Q485" t="str">
            <v>I</v>
          </cell>
          <cell r="R485"/>
          <cell r="S485" t="str">
            <v>Genérico</v>
          </cell>
          <cell r="T485" t="str">
            <v>Monitorado</v>
          </cell>
          <cell r="U485"/>
          <cell r="V485" t="str">
            <v>148553-50-8</v>
          </cell>
          <cell r="W485"/>
          <cell r="X485"/>
          <cell r="Y485"/>
          <cell r="Z485">
            <v>7343</v>
          </cell>
          <cell r="AA485" t="str">
            <v>491 - ANTICONVULSIVANTES INCLUINDO ANTIEPILÉPTICOS</v>
          </cell>
          <cell r="AB485" t="str">
            <v>N</v>
          </cell>
          <cell r="AC485" t="str">
            <v>N</v>
          </cell>
          <cell r="AD485"/>
          <cell r="AE485" t="str">
            <v>S</v>
          </cell>
          <cell r="AF485">
            <v>0</v>
          </cell>
          <cell r="AG485">
            <v>55.82</v>
          </cell>
          <cell r="AH485">
            <v>59.18</v>
          </cell>
          <cell r="AI485">
            <v>0</v>
          </cell>
          <cell r="AJ485">
            <v>59.91</v>
          </cell>
          <cell r="AK485">
            <v>60.65</v>
          </cell>
          <cell r="AL485">
            <v>0</v>
          </cell>
          <cell r="AM485">
            <v>59.18</v>
          </cell>
          <cell r="AN485">
            <v>0</v>
          </cell>
          <cell r="AO485">
            <v>77.17</v>
          </cell>
          <cell r="AP485">
            <v>81.81</v>
          </cell>
          <cell r="AQ485">
            <v>0</v>
          </cell>
          <cell r="AR485">
            <v>82.82</v>
          </cell>
          <cell r="AS485">
            <v>83.85</v>
          </cell>
          <cell r="AT485">
            <v>0</v>
          </cell>
          <cell r="AU485">
            <v>81.81</v>
          </cell>
          <cell r="AV485">
            <v>0</v>
          </cell>
          <cell r="AW485">
            <v>58.48</v>
          </cell>
          <cell r="AX485">
            <v>62</v>
          </cell>
          <cell r="AY485">
            <v>62.38</v>
          </cell>
          <cell r="AZ485">
            <v>62.76</v>
          </cell>
          <cell r="BA485">
            <v>63.54</v>
          </cell>
          <cell r="BB485">
            <v>63.54</v>
          </cell>
          <cell r="BC485">
            <v>62</v>
          </cell>
          <cell r="BD485">
            <v>0</v>
          </cell>
          <cell r="BE485">
            <v>80.849999999999994</v>
          </cell>
          <cell r="BF485">
            <v>85.71</v>
          </cell>
          <cell r="BG485">
            <v>86.24</v>
          </cell>
          <cell r="BH485">
            <v>86.76</v>
          </cell>
          <cell r="BI485">
            <v>87.84</v>
          </cell>
          <cell r="BJ485">
            <v>88.93</v>
          </cell>
          <cell r="BK485">
            <v>85.71</v>
          </cell>
        </row>
        <row r="486">
          <cell r="A486"/>
          <cell r="B486"/>
          <cell r="C486"/>
          <cell r="D486"/>
          <cell r="E486"/>
          <cell r="F486"/>
          <cell r="G486"/>
          <cell r="H486"/>
          <cell r="I486"/>
          <cell r="J486"/>
          <cell r="K486"/>
          <cell r="L486"/>
          <cell r="M486"/>
          <cell r="N486"/>
          <cell r="O486"/>
          <cell r="P486"/>
          <cell r="Q486"/>
          <cell r="R486"/>
          <cell r="S486"/>
          <cell r="T486"/>
          <cell r="U486"/>
          <cell r="V486"/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  <cell r="AM486"/>
          <cell r="AN486"/>
          <cell r="AO486"/>
          <cell r="AP486"/>
          <cell r="AQ486"/>
          <cell r="AR486"/>
          <cell r="AS486"/>
          <cell r="AT486"/>
          <cell r="AU486"/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/>
          <cell r="BG486"/>
          <cell r="BH486"/>
          <cell r="BI486"/>
          <cell r="BJ486"/>
          <cell r="BK486"/>
        </row>
        <row r="487">
          <cell r="A487">
            <v>7891721028144</v>
          </cell>
          <cell r="B487">
            <v>1008903810043</v>
          </cell>
          <cell r="C487">
            <v>525415030045604</v>
          </cell>
          <cell r="D487" t="str">
            <v>PRENEURIN</v>
          </cell>
          <cell r="E487" t="str">
            <v>150 MG CAP GEL DURA CT BL AL PVC/ACLAR X 30</v>
          </cell>
          <cell r="F487" t="str">
            <v>Cápsula dura</v>
          </cell>
          <cell r="G487"/>
          <cell r="H487"/>
          <cell r="I487">
            <v>30</v>
          </cell>
          <cell r="J487"/>
          <cell r="K487" t="str">
            <v>Conformidade</v>
          </cell>
          <cell r="L487">
            <v>1</v>
          </cell>
          <cell r="M487" t="str">
            <v>Tarja Vermelha</v>
          </cell>
          <cell r="N487" t="str">
            <v>Não</v>
          </cell>
          <cell r="O487" t="str">
            <v>Não</v>
          </cell>
          <cell r="P487" t="str">
            <v>Não</v>
          </cell>
          <cell r="Q487" t="str">
            <v>I</v>
          </cell>
          <cell r="R487"/>
          <cell r="S487" t="str">
            <v>Similar</v>
          </cell>
          <cell r="T487" t="str">
            <v>Monitorado</v>
          </cell>
          <cell r="U487"/>
          <cell r="V487" t="str">
            <v>148553-50-8</v>
          </cell>
          <cell r="W487"/>
          <cell r="X487"/>
          <cell r="Y487"/>
          <cell r="Z487">
            <v>7343</v>
          </cell>
          <cell r="AA487" t="str">
            <v>491 - ANTICONVULSIVANTES INCLUINDO ANTIEPILÉPTICOS</v>
          </cell>
          <cell r="AB487" t="str">
            <v>N</v>
          </cell>
          <cell r="AC487" t="str">
            <v>N</v>
          </cell>
          <cell r="AD487"/>
          <cell r="AE487" t="str">
            <v>S</v>
          </cell>
          <cell r="AF487">
            <v>0</v>
          </cell>
          <cell r="AG487">
            <v>74.64</v>
          </cell>
          <cell r="AH487">
            <v>79.13</v>
          </cell>
          <cell r="AI487">
            <v>0</v>
          </cell>
          <cell r="AJ487">
            <v>80.099999999999994</v>
          </cell>
          <cell r="AK487">
            <v>81.09</v>
          </cell>
          <cell r="AL487">
            <v>0</v>
          </cell>
          <cell r="AM487">
            <v>79.13</v>
          </cell>
          <cell r="AN487">
            <v>0</v>
          </cell>
          <cell r="AO487">
            <v>103.19</v>
          </cell>
          <cell r="AP487">
            <v>109.39</v>
          </cell>
          <cell r="AQ487">
            <v>0</v>
          </cell>
          <cell r="AR487">
            <v>110.73</v>
          </cell>
          <cell r="AS487">
            <v>112.1</v>
          </cell>
          <cell r="AT487">
            <v>0</v>
          </cell>
          <cell r="AU487">
            <v>109.39</v>
          </cell>
          <cell r="AV487">
            <v>0</v>
          </cell>
          <cell r="AW487">
            <v>78.19</v>
          </cell>
          <cell r="AX487">
            <v>82.9</v>
          </cell>
          <cell r="AY487">
            <v>83.4</v>
          </cell>
          <cell r="AZ487">
            <v>83.91</v>
          </cell>
          <cell r="BA487">
            <v>84.95</v>
          </cell>
          <cell r="BB487">
            <v>84.95</v>
          </cell>
          <cell r="BC487">
            <v>82.9</v>
          </cell>
          <cell r="BD487">
            <v>0</v>
          </cell>
          <cell r="BE487">
            <v>108.09</v>
          </cell>
          <cell r="BF487">
            <v>114.6</v>
          </cell>
          <cell r="BG487">
            <v>115.3</v>
          </cell>
          <cell r="BH487">
            <v>116</v>
          </cell>
          <cell r="BI487">
            <v>117.44</v>
          </cell>
          <cell r="BJ487">
            <v>118.9</v>
          </cell>
          <cell r="BK487">
            <v>114.6</v>
          </cell>
        </row>
        <row r="488">
          <cell r="A488"/>
          <cell r="B488"/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  <cell r="O488"/>
          <cell r="P488"/>
          <cell r="Q488"/>
          <cell r="R488"/>
          <cell r="S488"/>
          <cell r="T488"/>
          <cell r="U488"/>
          <cell r="V488"/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  <cell r="AM488"/>
          <cell r="AN488"/>
          <cell r="AO488"/>
          <cell r="AP488"/>
          <cell r="AQ488"/>
          <cell r="AR488"/>
          <cell r="AS488"/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/>
          <cell r="BG488"/>
          <cell r="BH488"/>
          <cell r="BI488"/>
          <cell r="BJ488"/>
          <cell r="BK488"/>
        </row>
        <row r="489">
          <cell r="A489">
            <v>7891721028137</v>
          </cell>
          <cell r="B489">
            <v>1008903810027</v>
          </cell>
          <cell r="C489">
            <v>525415030045504</v>
          </cell>
          <cell r="D489" t="str">
            <v>PRENEURIN</v>
          </cell>
          <cell r="E489" t="str">
            <v>75 MG CAP GEL DURA CT BL AL PVC/ACLAR X 30</v>
          </cell>
          <cell r="F489" t="str">
            <v>Cápsula dura</v>
          </cell>
          <cell r="G489"/>
          <cell r="H489"/>
          <cell r="I489">
            <v>30</v>
          </cell>
          <cell r="J489"/>
          <cell r="K489" t="str">
            <v>Conformidade</v>
          </cell>
          <cell r="L489">
            <v>1</v>
          </cell>
          <cell r="M489" t="str">
            <v>Tarja Vermelha</v>
          </cell>
          <cell r="N489" t="str">
            <v>Não</v>
          </cell>
          <cell r="O489" t="str">
            <v>Não</v>
          </cell>
          <cell r="P489" t="str">
            <v>Não</v>
          </cell>
          <cell r="Q489" t="str">
            <v>I</v>
          </cell>
          <cell r="R489"/>
          <cell r="S489" t="str">
            <v>Similar</v>
          </cell>
          <cell r="T489" t="str">
            <v>Monitorado</v>
          </cell>
          <cell r="U489"/>
          <cell r="V489" t="str">
            <v>148553-50-8</v>
          </cell>
          <cell r="W489"/>
          <cell r="X489"/>
          <cell r="Y489"/>
          <cell r="Z489">
            <v>7343</v>
          </cell>
          <cell r="AA489" t="str">
            <v>491 - ANTICONVULSIVANTES INCLUINDO ANTIEPILÉPTICOS</v>
          </cell>
          <cell r="AB489" t="str">
            <v>N</v>
          </cell>
          <cell r="AC489" t="str">
            <v>N</v>
          </cell>
          <cell r="AD489"/>
          <cell r="AE489" t="str">
            <v>S</v>
          </cell>
          <cell r="AF489">
            <v>0</v>
          </cell>
          <cell r="AG489">
            <v>48.67</v>
          </cell>
          <cell r="AH489">
            <v>51.6</v>
          </cell>
          <cell r="AI489">
            <v>0</v>
          </cell>
          <cell r="AJ489">
            <v>52.23</v>
          </cell>
          <cell r="AK489">
            <v>52.88</v>
          </cell>
          <cell r="AL489">
            <v>0</v>
          </cell>
          <cell r="AM489">
            <v>51.6</v>
          </cell>
          <cell r="AN489">
            <v>0</v>
          </cell>
          <cell r="AO489">
            <v>67.28</v>
          </cell>
          <cell r="AP489">
            <v>71.33</v>
          </cell>
          <cell r="AQ489">
            <v>0</v>
          </cell>
          <cell r="AR489">
            <v>72.209999999999994</v>
          </cell>
          <cell r="AS489">
            <v>73.099999999999994</v>
          </cell>
          <cell r="AT489">
            <v>0</v>
          </cell>
          <cell r="AU489">
            <v>71.33</v>
          </cell>
          <cell r="AV489">
            <v>0</v>
          </cell>
          <cell r="AW489">
            <v>50.99</v>
          </cell>
          <cell r="AX489">
            <v>54.06</v>
          </cell>
          <cell r="AY489">
            <v>54.38</v>
          </cell>
          <cell r="AZ489">
            <v>54.72</v>
          </cell>
          <cell r="BA489">
            <v>55.39</v>
          </cell>
          <cell r="BB489">
            <v>55.39</v>
          </cell>
          <cell r="BC489">
            <v>54.06</v>
          </cell>
          <cell r="BD489">
            <v>0</v>
          </cell>
          <cell r="BE489">
            <v>70.489999999999995</v>
          </cell>
          <cell r="BF489">
            <v>74.73</v>
          </cell>
          <cell r="BG489">
            <v>75.180000000000007</v>
          </cell>
          <cell r="BH489">
            <v>75.64</v>
          </cell>
          <cell r="BI489">
            <v>76.569999999999993</v>
          </cell>
          <cell r="BJ489">
            <v>77.53</v>
          </cell>
          <cell r="BK489">
            <v>74.73</v>
          </cell>
        </row>
        <row r="490">
          <cell r="A490"/>
          <cell r="B490"/>
          <cell r="C490"/>
          <cell r="D490"/>
          <cell r="E490"/>
          <cell r="F490"/>
          <cell r="G490"/>
          <cell r="H490"/>
          <cell r="I490"/>
          <cell r="J490"/>
          <cell r="K490"/>
          <cell r="L490"/>
          <cell r="M490"/>
          <cell r="N490"/>
          <cell r="O490"/>
          <cell r="P490"/>
          <cell r="Q490"/>
          <cell r="R490"/>
          <cell r="S490"/>
          <cell r="T490"/>
          <cell r="U490"/>
          <cell r="V490"/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  <cell r="AM490"/>
          <cell r="AN490"/>
          <cell r="AO490"/>
          <cell r="AP490"/>
          <cell r="AQ490"/>
          <cell r="AR490"/>
          <cell r="AS490"/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/>
          <cell r="BG490"/>
          <cell r="BH490"/>
          <cell r="BI490"/>
          <cell r="BJ490"/>
          <cell r="BK490"/>
        </row>
        <row r="491">
          <cell r="A491">
            <v>7891721238390</v>
          </cell>
          <cell r="B491">
            <v>1008903060011</v>
          </cell>
          <cell r="C491">
            <v>525417701168115</v>
          </cell>
          <cell r="D491" t="str">
            <v>PROPIONATO DE CLOBETASOL</v>
          </cell>
          <cell r="E491" t="str">
            <v>0,5 MG/G CREM DERM CT 1 BG AL X 30 G</v>
          </cell>
          <cell r="F491" t="str">
            <v>CREME DERMATOLÓGICO</v>
          </cell>
          <cell r="G491">
            <v>1</v>
          </cell>
          <cell r="H491" t="str">
            <v>BISNAGA</v>
          </cell>
          <cell r="I491">
            <v>30</v>
          </cell>
          <cell r="J491" t="str">
            <v>G</v>
          </cell>
          <cell r="K491" t="str">
            <v>Conformidade</v>
          </cell>
          <cell r="L491">
            <v>1</v>
          </cell>
          <cell r="M491" t="str">
            <v>Tarja Vermelha</v>
          </cell>
          <cell r="N491" t="str">
            <v>Não</v>
          </cell>
          <cell r="O491" t="str">
            <v>Não</v>
          </cell>
          <cell r="P491" t="str">
            <v>Não</v>
          </cell>
          <cell r="Q491" t="str">
            <v>I</v>
          </cell>
          <cell r="R491"/>
          <cell r="S491" t="str">
            <v>Genérico</v>
          </cell>
          <cell r="T491" t="str">
            <v>Monitorado</v>
          </cell>
          <cell r="U491"/>
          <cell r="V491" t="str">
            <v>25122-46-7</v>
          </cell>
          <cell r="W491"/>
          <cell r="X491"/>
          <cell r="Y491" t="str">
            <v>MG/G</v>
          </cell>
          <cell r="Z491">
            <v>2247</v>
          </cell>
          <cell r="AA491" t="str">
            <v>235 - CORTICOESTERÓIDES TÓPICOS PUROS</v>
          </cell>
          <cell r="AB491" t="str">
            <v>N</v>
          </cell>
          <cell r="AC491" t="str">
            <v>N</v>
          </cell>
          <cell r="AD491">
            <v>0</v>
          </cell>
          <cell r="AE491" t="str">
            <v>N</v>
          </cell>
          <cell r="AF491">
            <v>0</v>
          </cell>
          <cell r="AG491">
            <v>10.16</v>
          </cell>
          <cell r="AH491">
            <v>10.77</v>
          </cell>
          <cell r="AI491">
            <v>0</v>
          </cell>
          <cell r="AJ491">
            <v>10.9</v>
          </cell>
          <cell r="AK491">
            <v>11.03</v>
          </cell>
          <cell r="AL491">
            <v>0</v>
          </cell>
          <cell r="AM491">
            <v>10.77</v>
          </cell>
          <cell r="AN491">
            <v>0</v>
          </cell>
          <cell r="AO491">
            <v>14.05</v>
          </cell>
          <cell r="AP491">
            <v>14.89</v>
          </cell>
          <cell r="AQ491">
            <v>0</v>
          </cell>
          <cell r="AR491">
            <v>15.07</v>
          </cell>
          <cell r="AS491">
            <v>15.25</v>
          </cell>
          <cell r="AT491">
            <v>0</v>
          </cell>
          <cell r="AU491">
            <v>14.89</v>
          </cell>
          <cell r="AV491">
            <v>0</v>
          </cell>
          <cell r="AW491">
            <v>10.16</v>
          </cell>
          <cell r="AX491">
            <v>10.77</v>
          </cell>
          <cell r="AY491">
            <v>10.83</v>
          </cell>
          <cell r="AZ491">
            <v>10.9</v>
          </cell>
          <cell r="BA491">
            <v>11.03</v>
          </cell>
          <cell r="BB491">
            <v>11.03</v>
          </cell>
          <cell r="BC491">
            <v>10.77</v>
          </cell>
          <cell r="BD491">
            <v>0</v>
          </cell>
          <cell r="BE491">
            <v>14.05</v>
          </cell>
          <cell r="BF491">
            <v>14.89</v>
          </cell>
          <cell r="BG491">
            <v>14.97</v>
          </cell>
          <cell r="BH491">
            <v>15.07</v>
          </cell>
          <cell r="BI491">
            <v>15.25</v>
          </cell>
          <cell r="BJ491">
            <v>15.44</v>
          </cell>
          <cell r="BK491">
            <v>14.89</v>
          </cell>
        </row>
        <row r="492">
          <cell r="A492">
            <v>7891721238383</v>
          </cell>
          <cell r="B492">
            <v>1008903050014</v>
          </cell>
          <cell r="C492">
            <v>525417702164113</v>
          </cell>
          <cell r="D492" t="str">
            <v>PROPIONATO DE CLOBETASOL</v>
          </cell>
          <cell r="E492" t="str">
            <v>0,5 MG/G POM DERM CT BG AL X 30 G</v>
          </cell>
          <cell r="F492" t="str">
            <v>POMADA DERMATOLÓGICA</v>
          </cell>
          <cell r="G492">
            <v>1</v>
          </cell>
          <cell r="H492" t="str">
            <v>BISNAGA</v>
          </cell>
          <cell r="I492">
            <v>30</v>
          </cell>
          <cell r="J492" t="str">
            <v>G</v>
          </cell>
          <cell r="K492" t="str">
            <v>Conformidade</v>
          </cell>
          <cell r="L492">
            <v>1</v>
          </cell>
          <cell r="M492" t="str">
            <v>Tarja Vermelha</v>
          </cell>
          <cell r="N492" t="str">
            <v>Não</v>
          </cell>
          <cell r="O492" t="str">
            <v>Não</v>
          </cell>
          <cell r="P492" t="str">
            <v>Não</v>
          </cell>
          <cell r="Q492" t="str">
            <v>I</v>
          </cell>
          <cell r="R492"/>
          <cell r="S492" t="str">
            <v>Genérico</v>
          </cell>
          <cell r="T492" t="str">
            <v>Monitorado</v>
          </cell>
          <cell r="U492"/>
          <cell r="V492" t="str">
            <v>25122-46-7</v>
          </cell>
          <cell r="W492"/>
          <cell r="X492"/>
          <cell r="Y492" t="str">
            <v>MG/G</v>
          </cell>
          <cell r="Z492">
            <v>2247</v>
          </cell>
          <cell r="AA492" t="str">
            <v>235 - CORTICOESTERÓIDES TÓPICOS PUROS</v>
          </cell>
          <cell r="AB492" t="str">
            <v>N</v>
          </cell>
          <cell r="AC492" t="str">
            <v>N</v>
          </cell>
          <cell r="AD492">
            <v>0</v>
          </cell>
          <cell r="AE492" t="str">
            <v>N</v>
          </cell>
          <cell r="AF492">
            <v>0</v>
          </cell>
          <cell r="AG492">
            <v>10.47</v>
          </cell>
          <cell r="AH492">
            <v>11.1</v>
          </cell>
          <cell r="AI492">
            <v>0</v>
          </cell>
          <cell r="AJ492">
            <v>11.24</v>
          </cell>
          <cell r="AK492">
            <v>11.38</v>
          </cell>
          <cell r="AL492">
            <v>0</v>
          </cell>
          <cell r="AM492">
            <v>11.1</v>
          </cell>
          <cell r="AN492">
            <v>0</v>
          </cell>
          <cell r="AO492">
            <v>14.47</v>
          </cell>
          <cell r="AP492">
            <v>15.35</v>
          </cell>
          <cell r="AQ492">
            <v>0</v>
          </cell>
          <cell r="AR492">
            <v>15.54</v>
          </cell>
          <cell r="AS492">
            <v>15.73</v>
          </cell>
          <cell r="AT492">
            <v>0</v>
          </cell>
          <cell r="AU492">
            <v>15.35</v>
          </cell>
          <cell r="AV492">
            <v>0</v>
          </cell>
          <cell r="AW492">
            <v>10.47</v>
          </cell>
          <cell r="AX492">
            <v>11.1</v>
          </cell>
          <cell r="AY492">
            <v>11.17</v>
          </cell>
          <cell r="AZ492">
            <v>11.24</v>
          </cell>
          <cell r="BA492">
            <v>11.38</v>
          </cell>
          <cell r="BB492">
            <v>11.38</v>
          </cell>
          <cell r="BC492">
            <v>11.1</v>
          </cell>
          <cell r="BD492">
            <v>0</v>
          </cell>
          <cell r="BE492">
            <v>14.47</v>
          </cell>
          <cell r="BF492">
            <v>15.35</v>
          </cell>
          <cell r="BG492">
            <v>15.44</v>
          </cell>
          <cell r="BH492">
            <v>15.54</v>
          </cell>
          <cell r="BI492">
            <v>15.73</v>
          </cell>
          <cell r="BJ492">
            <v>15.93</v>
          </cell>
          <cell r="BK492">
            <v>15.35</v>
          </cell>
        </row>
        <row r="493">
          <cell r="A493">
            <v>7891721238406</v>
          </cell>
          <cell r="B493">
            <v>1008903020018</v>
          </cell>
          <cell r="C493">
            <v>525417703179114</v>
          </cell>
          <cell r="D493" t="str">
            <v>PROPIONATO DE CLOBETASOL</v>
          </cell>
          <cell r="E493" t="str">
            <v>0,5 MG/G SOL CAPILAR CT FR PLAS OPC GOT X 50G </v>
          </cell>
          <cell r="F493" t="str">
            <v>SOLUÇÃO CAPILAR</v>
          </cell>
          <cell r="G493">
            <v>1</v>
          </cell>
          <cell r="H493" t="str">
            <v>FRASCO</v>
          </cell>
          <cell r="I493">
            <v>50</v>
          </cell>
          <cell r="J493" t="str">
            <v>G</v>
          </cell>
          <cell r="K493" t="str">
            <v>Conformidade</v>
          </cell>
          <cell r="L493">
            <v>1</v>
          </cell>
          <cell r="M493" t="str">
            <v>Tarja Vermelha</v>
          </cell>
          <cell r="N493" t="str">
            <v>Não</v>
          </cell>
          <cell r="O493" t="str">
            <v>Não</v>
          </cell>
          <cell r="P493" t="str">
            <v>Não</v>
          </cell>
          <cell r="Q493" t="str">
            <v>I</v>
          </cell>
          <cell r="R493"/>
          <cell r="S493" t="str">
            <v>Genérico</v>
          </cell>
          <cell r="T493" t="str">
            <v>Monitorado</v>
          </cell>
          <cell r="U493"/>
          <cell r="V493" t="str">
            <v>25122-46-7</v>
          </cell>
          <cell r="W493"/>
          <cell r="X493"/>
          <cell r="Y493" t="str">
            <v>MG/G</v>
          </cell>
          <cell r="Z493">
            <v>2247</v>
          </cell>
          <cell r="AA493" t="str">
            <v>235 - CORTICOESTERÓIDES TÓPICOS PUROS</v>
          </cell>
          <cell r="AB493" t="str">
            <v>N</v>
          </cell>
          <cell r="AC493" t="str">
            <v>N</v>
          </cell>
          <cell r="AD493">
            <v>0</v>
          </cell>
          <cell r="AE493" t="str">
            <v>N</v>
          </cell>
          <cell r="AF493">
            <v>0</v>
          </cell>
          <cell r="AG493">
            <v>15.17</v>
          </cell>
          <cell r="AH493">
            <v>16.079999999999998</v>
          </cell>
          <cell r="AI493">
            <v>0</v>
          </cell>
          <cell r="AJ493">
            <v>16.28</v>
          </cell>
          <cell r="AK493">
            <v>16.48</v>
          </cell>
          <cell r="AL493">
            <v>0</v>
          </cell>
          <cell r="AM493">
            <v>16.079999999999998</v>
          </cell>
          <cell r="AN493">
            <v>0</v>
          </cell>
          <cell r="AO493">
            <v>20.97</v>
          </cell>
          <cell r="AP493">
            <v>22.23</v>
          </cell>
          <cell r="AQ493">
            <v>0</v>
          </cell>
          <cell r="AR493">
            <v>22.51</v>
          </cell>
          <cell r="AS493">
            <v>22.78</v>
          </cell>
          <cell r="AT493">
            <v>0</v>
          </cell>
          <cell r="AU493">
            <v>22.23</v>
          </cell>
          <cell r="AV493">
            <v>0</v>
          </cell>
          <cell r="AW493">
            <v>15.17</v>
          </cell>
          <cell r="AX493">
            <v>16.079999999999998</v>
          </cell>
          <cell r="AY493">
            <v>16.18</v>
          </cell>
          <cell r="AZ493">
            <v>16.28</v>
          </cell>
          <cell r="BA493">
            <v>16.48</v>
          </cell>
          <cell r="BB493">
            <v>16.48</v>
          </cell>
          <cell r="BC493">
            <v>16.079999999999998</v>
          </cell>
          <cell r="BD493">
            <v>0</v>
          </cell>
          <cell r="BE493">
            <v>20.97</v>
          </cell>
          <cell r="BF493">
            <v>22.23</v>
          </cell>
          <cell r="BG493">
            <v>22.37</v>
          </cell>
          <cell r="BH493">
            <v>22.51</v>
          </cell>
          <cell r="BI493">
            <v>22.78</v>
          </cell>
          <cell r="BJ493">
            <v>23.07</v>
          </cell>
          <cell r="BK493">
            <v>22.23</v>
          </cell>
        </row>
        <row r="494">
          <cell r="A494">
            <v>7891721000720</v>
          </cell>
          <cell r="B494">
            <v>1008902490029</v>
          </cell>
          <cell r="C494">
            <v>525407602116411</v>
          </cell>
          <cell r="D494" t="str">
            <v>PSIQUIAL</v>
          </cell>
          <cell r="E494" t="str">
            <v>20 MG COM REV CT BL AL PLAS INC X 14</v>
          </cell>
          <cell r="F494" t="str">
            <v>Comprimido revestido</v>
          </cell>
          <cell r="G494"/>
          <cell r="H494"/>
          <cell r="I494">
            <v>14</v>
          </cell>
          <cell r="J494"/>
          <cell r="K494" t="str">
            <v>Conformidade</v>
          </cell>
          <cell r="L494">
            <v>1</v>
          </cell>
          <cell r="M494" t="str">
            <v>Tarja Vermelha</v>
          </cell>
          <cell r="N494" t="str">
            <v>Não</v>
          </cell>
          <cell r="O494" t="str">
            <v>Não</v>
          </cell>
          <cell r="P494" t="str">
            <v>Não</v>
          </cell>
          <cell r="Q494" t="str">
            <v>I</v>
          </cell>
          <cell r="R494"/>
          <cell r="S494" t="str">
            <v>Similar</v>
          </cell>
          <cell r="T494" t="str">
            <v>Monitorado</v>
          </cell>
          <cell r="U494"/>
          <cell r="V494" t="str">
            <v>56296-78-7</v>
          </cell>
          <cell r="W494"/>
          <cell r="X494"/>
          <cell r="Y494" t="str">
            <v>MG</v>
          </cell>
          <cell r="Z494">
            <v>4177</v>
          </cell>
          <cell r="AA494" t="str">
            <v>504 - ANTI-DEPRESSIVOS SSRI</v>
          </cell>
          <cell r="AB494" t="str">
            <v>N</v>
          </cell>
          <cell r="AC494" t="str">
            <v>N</v>
          </cell>
          <cell r="AD494">
            <v>0</v>
          </cell>
          <cell r="AE494" t="str">
            <v>N</v>
          </cell>
          <cell r="AF494">
            <v>0</v>
          </cell>
          <cell r="AG494">
            <v>37.57</v>
          </cell>
          <cell r="AH494">
            <v>39.83</v>
          </cell>
          <cell r="AI494">
            <v>0</v>
          </cell>
          <cell r="AJ494">
            <v>40.32</v>
          </cell>
          <cell r="AK494">
            <v>40.82</v>
          </cell>
          <cell r="AL494">
            <v>0</v>
          </cell>
          <cell r="AM494">
            <v>39.83</v>
          </cell>
          <cell r="AN494">
            <v>0</v>
          </cell>
          <cell r="AO494">
            <v>51.94</v>
          </cell>
          <cell r="AP494">
            <v>55.06</v>
          </cell>
          <cell r="AQ494">
            <v>0</v>
          </cell>
          <cell r="AR494">
            <v>55.74</v>
          </cell>
          <cell r="AS494">
            <v>56.43</v>
          </cell>
          <cell r="AT494">
            <v>0</v>
          </cell>
          <cell r="AU494">
            <v>55.06</v>
          </cell>
          <cell r="AV494">
            <v>0</v>
          </cell>
          <cell r="AW494">
            <v>37.57</v>
          </cell>
          <cell r="AX494">
            <v>39.83</v>
          </cell>
          <cell r="AY494">
            <v>40.08</v>
          </cell>
          <cell r="AZ494">
            <v>40.32</v>
          </cell>
          <cell r="BA494">
            <v>40.82</v>
          </cell>
          <cell r="BB494">
            <v>40.82</v>
          </cell>
          <cell r="BC494">
            <v>39.83</v>
          </cell>
          <cell r="BD494">
            <v>0</v>
          </cell>
          <cell r="BE494">
            <v>51.94</v>
          </cell>
          <cell r="BF494">
            <v>55.06</v>
          </cell>
          <cell r="BG494">
            <v>55.41</v>
          </cell>
          <cell r="BH494">
            <v>55.74</v>
          </cell>
          <cell r="BI494">
            <v>56.43</v>
          </cell>
          <cell r="BJ494">
            <v>57.14</v>
          </cell>
          <cell r="BK494">
            <v>55.06</v>
          </cell>
        </row>
        <row r="495">
          <cell r="A495">
            <v>7891721000737</v>
          </cell>
          <cell r="B495">
            <v>1008902490037</v>
          </cell>
          <cell r="C495">
            <v>525407601111416</v>
          </cell>
          <cell r="D495" t="str">
            <v>PSIQUIAL</v>
          </cell>
          <cell r="E495" t="str">
            <v>20 MG COM REV CT BL AL PLAS INC X 28</v>
          </cell>
          <cell r="F495" t="str">
            <v>Comprimido revestido</v>
          </cell>
          <cell r="G495"/>
          <cell r="H495"/>
          <cell r="I495">
            <v>28</v>
          </cell>
          <cell r="J495"/>
          <cell r="K495" t="str">
            <v>Conformidade</v>
          </cell>
          <cell r="L495">
            <v>1</v>
          </cell>
          <cell r="M495" t="str">
            <v>Tarja Vermelha</v>
          </cell>
          <cell r="N495" t="str">
            <v>Não</v>
          </cell>
          <cell r="O495" t="str">
            <v>Não</v>
          </cell>
          <cell r="P495" t="str">
            <v>Não</v>
          </cell>
          <cell r="Q495" t="str">
            <v>I</v>
          </cell>
          <cell r="R495"/>
          <cell r="S495" t="str">
            <v>Similar</v>
          </cell>
          <cell r="T495" t="str">
            <v>Monitorado</v>
          </cell>
          <cell r="U495"/>
          <cell r="V495" t="str">
            <v>56296-78-7</v>
          </cell>
          <cell r="W495"/>
          <cell r="X495"/>
          <cell r="Y495" t="str">
            <v>MG</v>
          </cell>
          <cell r="Z495">
            <v>4177</v>
          </cell>
          <cell r="AA495" t="str">
            <v>504 - ANTI-DEPRESSIVOS SSRI</v>
          </cell>
          <cell r="AB495" t="str">
            <v>N</v>
          </cell>
          <cell r="AC495" t="str">
            <v>N</v>
          </cell>
          <cell r="AD495">
            <v>0</v>
          </cell>
          <cell r="AE495" t="str">
            <v>N</v>
          </cell>
          <cell r="AF495">
            <v>0</v>
          </cell>
          <cell r="AG495">
            <v>34.270000000000003</v>
          </cell>
          <cell r="AH495">
            <v>36.33</v>
          </cell>
          <cell r="AI495">
            <v>0</v>
          </cell>
          <cell r="AJ495">
            <v>36.78</v>
          </cell>
          <cell r="AK495">
            <v>37.229999999999997</v>
          </cell>
          <cell r="AL495">
            <v>0</v>
          </cell>
          <cell r="AM495">
            <v>36.33</v>
          </cell>
          <cell r="AN495">
            <v>0</v>
          </cell>
          <cell r="AO495">
            <v>47.38</v>
          </cell>
          <cell r="AP495">
            <v>50.22</v>
          </cell>
          <cell r="AQ495">
            <v>0</v>
          </cell>
          <cell r="AR495">
            <v>50.84</v>
          </cell>
          <cell r="AS495">
            <v>51.47</v>
          </cell>
          <cell r="AT495">
            <v>0</v>
          </cell>
          <cell r="AU495">
            <v>50.22</v>
          </cell>
          <cell r="AV495">
            <v>0</v>
          </cell>
          <cell r="AW495">
            <v>35.9</v>
          </cell>
          <cell r="AX495">
            <v>38.07</v>
          </cell>
          <cell r="AY495">
            <v>38.299999999999997</v>
          </cell>
          <cell r="AZ495">
            <v>38.53</v>
          </cell>
          <cell r="BA495">
            <v>39.01</v>
          </cell>
          <cell r="BB495">
            <v>39.01</v>
          </cell>
          <cell r="BC495">
            <v>38.07</v>
          </cell>
          <cell r="BD495">
            <v>0</v>
          </cell>
          <cell r="BE495">
            <v>49.63</v>
          </cell>
          <cell r="BF495">
            <v>52.63</v>
          </cell>
          <cell r="BG495">
            <v>52.95</v>
          </cell>
          <cell r="BH495">
            <v>53.27</v>
          </cell>
          <cell r="BI495">
            <v>53.93</v>
          </cell>
          <cell r="BJ495">
            <v>54.59</v>
          </cell>
          <cell r="BK495">
            <v>52.63</v>
          </cell>
        </row>
        <row r="496">
          <cell r="A496"/>
          <cell r="B496"/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  <cell r="O496"/>
          <cell r="P496"/>
          <cell r="Q496"/>
          <cell r="R496"/>
          <cell r="S496"/>
          <cell r="T496"/>
          <cell r="U496"/>
          <cell r="V496"/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  <cell r="AM496"/>
          <cell r="AN496"/>
          <cell r="AO496"/>
          <cell r="AP496"/>
          <cell r="AQ496"/>
          <cell r="AR496"/>
          <cell r="AS496"/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/>
          <cell r="BG496"/>
          <cell r="BH496"/>
          <cell r="BI496"/>
          <cell r="BJ496"/>
          <cell r="BK496"/>
        </row>
        <row r="497">
          <cell r="A497">
            <v>7891721024306</v>
          </cell>
          <cell r="B497">
            <v>1008903510066</v>
          </cell>
          <cell r="C497">
            <v>525413010043703</v>
          </cell>
          <cell r="D497" t="str">
            <v>REBIF</v>
          </cell>
          <cell r="E497" t="str">
            <v>132 MCG/1,5 ML SOL INJ CT 4 FA VD INC X 1,5 ML </v>
          </cell>
          <cell r="F497" t="str">
            <v>Solução injetável</v>
          </cell>
          <cell r="G497">
            <v>4</v>
          </cell>
          <cell r="H497" t="str">
            <v>FRASCO-AMPOLA</v>
          </cell>
          <cell r="I497">
            <v>1.5</v>
          </cell>
          <cell r="J497" t="str">
            <v>ML</v>
          </cell>
          <cell r="K497" t="str">
            <v>Conformidade</v>
          </cell>
          <cell r="L497">
            <v>3</v>
          </cell>
          <cell r="M497" t="str">
            <v>Tarja Vermelha</v>
          </cell>
          <cell r="N497" t="str">
            <v>Não</v>
          </cell>
          <cell r="O497" t="str">
            <v>Não</v>
          </cell>
          <cell r="P497" t="str">
            <v>Não</v>
          </cell>
          <cell r="Q497" t="str">
            <v>I</v>
          </cell>
          <cell r="R497"/>
          <cell r="S497" t="str">
            <v>Similar</v>
          </cell>
          <cell r="T497" t="str">
            <v>Monitorado</v>
          </cell>
          <cell r="U497"/>
          <cell r="V497" t="str">
            <v>145258-61-3</v>
          </cell>
          <cell r="W497"/>
          <cell r="X497"/>
          <cell r="Y497" t="str">
            <v>MCG/ML</v>
          </cell>
          <cell r="Z497">
            <v>9361</v>
          </cell>
          <cell r="AA497" t="str">
            <v>459 - BETA-INTERFERONAS</v>
          </cell>
          <cell r="AB497" t="str">
            <v>N</v>
          </cell>
          <cell r="AC497" t="str">
            <v>N</v>
          </cell>
          <cell r="AD497"/>
          <cell r="AE497" t="str">
            <v>N</v>
          </cell>
          <cell r="AF497">
            <v>0</v>
          </cell>
          <cell r="AG497">
            <v>9154.8799999999992</v>
          </cell>
          <cell r="AH497">
            <v>9706.3799999999992</v>
          </cell>
          <cell r="AI497">
            <v>0</v>
          </cell>
          <cell r="AJ497">
            <v>9824.75</v>
          </cell>
          <cell r="AK497">
            <v>9946.08</v>
          </cell>
          <cell r="AL497">
            <v>0</v>
          </cell>
          <cell r="AM497">
            <v>9706.3799999999992</v>
          </cell>
          <cell r="AN497">
            <v>0</v>
          </cell>
          <cell r="AO497">
            <v>12656.08</v>
          </cell>
          <cell r="AP497">
            <v>13418.5</v>
          </cell>
          <cell r="AQ497">
            <v>0</v>
          </cell>
          <cell r="AR497">
            <v>13582.14</v>
          </cell>
          <cell r="AS497">
            <v>13749.87</v>
          </cell>
          <cell r="AT497">
            <v>0</v>
          </cell>
          <cell r="AU497">
            <v>13418.5</v>
          </cell>
          <cell r="AV497">
            <v>0</v>
          </cell>
          <cell r="AW497">
            <v>9154.8799999999992</v>
          </cell>
          <cell r="AX497">
            <v>9706.3799999999992</v>
          </cell>
          <cell r="AY497">
            <v>9765.2000000000007</v>
          </cell>
          <cell r="AZ497">
            <v>9824.75</v>
          </cell>
          <cell r="BA497">
            <v>9946.09</v>
          </cell>
          <cell r="BB497">
            <v>9946.09</v>
          </cell>
          <cell r="BC497">
            <v>9706.3799999999992</v>
          </cell>
          <cell r="BD497">
            <v>0</v>
          </cell>
          <cell r="BE497">
            <v>12656.08</v>
          </cell>
          <cell r="BF497">
            <v>13418.5</v>
          </cell>
          <cell r="BG497">
            <v>13499.82</v>
          </cell>
          <cell r="BH497">
            <v>13582.14</v>
          </cell>
          <cell r="BI497">
            <v>13749.89</v>
          </cell>
          <cell r="BJ497">
            <v>13921.7</v>
          </cell>
          <cell r="BK497">
            <v>13418.5</v>
          </cell>
        </row>
        <row r="498">
          <cell r="A498">
            <v>7891721027512</v>
          </cell>
          <cell r="B498">
            <v>1008903510082</v>
          </cell>
          <cell r="C498">
            <v>525413020044103</v>
          </cell>
          <cell r="D498" t="str">
            <v>REBIF</v>
          </cell>
          <cell r="E498" t="str">
            <v>22 MCG / ML SOL INJ CT 12 SER PREENC VD INC X 0,5 ML + CAN APLIC </v>
          </cell>
          <cell r="F498" t="str">
            <v>Solução injetável</v>
          </cell>
          <cell r="G498">
            <v>12</v>
          </cell>
          <cell r="H498" t="str">
            <v>SERINGA</v>
          </cell>
          <cell r="I498">
            <v>0.5</v>
          </cell>
          <cell r="J498" t="str">
            <v>ML</v>
          </cell>
          <cell r="K498" t="str">
            <v>Conformidade</v>
          </cell>
          <cell r="L498">
            <v>3</v>
          </cell>
          <cell r="M498" t="str">
            <v>Tarja Vermelha</v>
          </cell>
          <cell r="N498" t="str">
            <v>Não</v>
          </cell>
          <cell r="O498" t="str">
            <v>Não</v>
          </cell>
          <cell r="P498" t="str">
            <v>Não</v>
          </cell>
          <cell r="Q498" t="str">
            <v>I</v>
          </cell>
          <cell r="R498"/>
          <cell r="S498" t="str">
            <v>Similar</v>
          </cell>
          <cell r="T498" t="str">
            <v>Monitorado</v>
          </cell>
          <cell r="U498"/>
          <cell r="V498" t="str">
            <v>145258-61-3</v>
          </cell>
          <cell r="W498"/>
          <cell r="X498"/>
          <cell r="Y498" t="str">
            <v>MCG/ML</v>
          </cell>
          <cell r="Z498">
            <v>9361</v>
          </cell>
          <cell r="AA498" t="str">
            <v>459 - BETA-INTERFERONAS</v>
          </cell>
          <cell r="AB498" t="str">
            <v>N</v>
          </cell>
          <cell r="AC498" t="str">
            <v>N</v>
          </cell>
          <cell r="AD498"/>
          <cell r="AE498" t="str">
            <v>N</v>
          </cell>
          <cell r="AF498">
            <v>0</v>
          </cell>
          <cell r="AG498">
            <v>8047.04</v>
          </cell>
          <cell r="AH498">
            <v>8531.7999999999993</v>
          </cell>
          <cell r="AI498">
            <v>0</v>
          </cell>
          <cell r="AJ498">
            <v>8635.85</v>
          </cell>
          <cell r="AK498">
            <v>8742.5</v>
          </cell>
          <cell r="AL498">
            <v>0</v>
          </cell>
          <cell r="AM498">
            <v>8531.7999999999993</v>
          </cell>
          <cell r="AN498">
            <v>0</v>
          </cell>
          <cell r="AO498">
            <v>11124.56</v>
          </cell>
          <cell r="AP498">
            <v>11794.71</v>
          </cell>
          <cell r="AQ498">
            <v>0</v>
          </cell>
          <cell r="AR498">
            <v>11938.55</v>
          </cell>
          <cell r="AS498">
            <v>12085.99</v>
          </cell>
          <cell r="AT498">
            <v>0</v>
          </cell>
          <cell r="AU498">
            <v>11794.71</v>
          </cell>
          <cell r="AV498">
            <v>0</v>
          </cell>
          <cell r="AW498">
            <v>8047.04</v>
          </cell>
          <cell r="AX498">
            <v>8531.81</v>
          </cell>
          <cell r="AY498">
            <v>8583.51</v>
          </cell>
          <cell r="AZ498">
            <v>8635.85</v>
          </cell>
          <cell r="BA498">
            <v>8742.5</v>
          </cell>
          <cell r="BB498">
            <v>8742.5</v>
          </cell>
          <cell r="BC498">
            <v>8531.81</v>
          </cell>
          <cell r="BD498">
            <v>0</v>
          </cell>
          <cell r="BE498">
            <v>11124.56</v>
          </cell>
          <cell r="BF498">
            <v>11794.73</v>
          </cell>
          <cell r="BG498">
            <v>11866.2</v>
          </cell>
          <cell r="BH498">
            <v>11938.56</v>
          </cell>
          <cell r="BI498">
            <v>12085.99</v>
          </cell>
          <cell r="BJ498">
            <v>12237.03</v>
          </cell>
          <cell r="BK498">
            <v>11794.73</v>
          </cell>
        </row>
        <row r="499">
          <cell r="A499">
            <v>7891721022418</v>
          </cell>
          <cell r="B499">
            <v>1008903510023</v>
          </cell>
          <cell r="C499">
            <v>525420402151415</v>
          </cell>
          <cell r="D499" t="str">
            <v>REBIF</v>
          </cell>
          <cell r="E499" t="str">
            <v>22 MCG/ML SOL INJ CT 12 SER PREENCH VD INC X 0,5 ML </v>
          </cell>
          <cell r="F499" t="str">
            <v>Solução injetável</v>
          </cell>
          <cell r="G499">
            <v>12</v>
          </cell>
          <cell r="H499" t="str">
            <v>SERINGA</v>
          </cell>
          <cell r="I499">
            <v>0.5</v>
          </cell>
          <cell r="J499" t="str">
            <v>ML</v>
          </cell>
          <cell r="K499" t="str">
            <v>Conformidade</v>
          </cell>
          <cell r="L499">
            <v>3</v>
          </cell>
          <cell r="M499" t="str">
            <v>Tarja Vermelha</v>
          </cell>
          <cell r="N499" t="str">
            <v>Não</v>
          </cell>
          <cell r="O499" t="str">
            <v>Sim</v>
          </cell>
          <cell r="P499" t="str">
            <v>Sim</v>
          </cell>
          <cell r="Q499" t="str">
            <v>I</v>
          </cell>
          <cell r="R499"/>
          <cell r="S499" t="str">
            <v>Similar</v>
          </cell>
          <cell r="T499" t="str">
            <v>Monitorado</v>
          </cell>
          <cell r="U499"/>
          <cell r="V499" t="str">
            <v>145258-61-3</v>
          </cell>
          <cell r="W499"/>
          <cell r="X499"/>
          <cell r="Y499" t="str">
            <v>MCG/ML</v>
          </cell>
          <cell r="Z499">
            <v>9361</v>
          </cell>
          <cell r="AA499" t="str">
            <v>459 - BETA-INTERFERONAS</v>
          </cell>
          <cell r="AB499" t="str">
            <v>N</v>
          </cell>
          <cell r="AC499" t="str">
            <v>N</v>
          </cell>
          <cell r="AD499">
            <v>0</v>
          </cell>
          <cell r="AE499" t="str">
            <v>N</v>
          </cell>
          <cell r="AF499">
            <v>0</v>
          </cell>
          <cell r="AG499">
            <v>8047.04</v>
          </cell>
          <cell r="AH499">
            <v>8531.7999999999993</v>
          </cell>
          <cell r="AI499">
            <v>0</v>
          </cell>
          <cell r="AJ499">
            <v>8635.85</v>
          </cell>
          <cell r="AK499">
            <v>8742.5</v>
          </cell>
          <cell r="AL499">
            <v>0</v>
          </cell>
          <cell r="AM499">
            <v>8531.7999999999993</v>
          </cell>
          <cell r="AN499">
            <v>0</v>
          </cell>
          <cell r="AO499">
            <v>11124.56</v>
          </cell>
          <cell r="AP499">
            <v>11794.71</v>
          </cell>
          <cell r="AQ499">
            <v>0</v>
          </cell>
          <cell r="AR499">
            <v>11938.55</v>
          </cell>
          <cell r="AS499">
            <v>12085.99</v>
          </cell>
          <cell r="AT499">
            <v>0</v>
          </cell>
          <cell r="AU499">
            <v>11794.71</v>
          </cell>
          <cell r="AV499">
            <v>0</v>
          </cell>
          <cell r="AW499">
            <v>8156.48</v>
          </cell>
          <cell r="AX499">
            <v>8647.84</v>
          </cell>
          <cell r="AY499">
            <v>8700.24</v>
          </cell>
          <cell r="AZ499">
            <v>8753.2999999999993</v>
          </cell>
          <cell r="BA499">
            <v>8861.4</v>
          </cell>
          <cell r="BB499">
            <v>8861.4</v>
          </cell>
          <cell r="BC499">
            <v>8647.84</v>
          </cell>
          <cell r="BD499">
            <v>0</v>
          </cell>
          <cell r="BE499">
            <v>11275.86</v>
          </cell>
          <cell r="BF499">
            <v>11955.13</v>
          </cell>
          <cell r="BG499">
            <v>12027.57</v>
          </cell>
          <cell r="BH499">
            <v>12100.92</v>
          </cell>
          <cell r="BI499">
            <v>12250.37</v>
          </cell>
          <cell r="BJ499">
            <v>12403.44</v>
          </cell>
          <cell r="BK499">
            <v>11955.13</v>
          </cell>
        </row>
        <row r="500">
          <cell r="A500"/>
          <cell r="B500"/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  <cell r="AQ500"/>
          <cell r="AR500"/>
          <cell r="AS500"/>
          <cell r="AT500"/>
          <cell r="AU500"/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/>
          <cell r="BG500"/>
          <cell r="BH500"/>
          <cell r="BI500"/>
          <cell r="BJ500"/>
          <cell r="BK500"/>
        </row>
        <row r="501">
          <cell r="A501"/>
          <cell r="B501"/>
          <cell r="C501"/>
          <cell r="D501"/>
          <cell r="E501"/>
          <cell r="F501"/>
          <cell r="G501"/>
          <cell r="H501"/>
          <cell r="I501"/>
          <cell r="J501"/>
          <cell r="K501"/>
          <cell r="L501"/>
          <cell r="M501"/>
          <cell r="N501"/>
          <cell r="O501"/>
          <cell r="P501"/>
          <cell r="Q501"/>
          <cell r="R501"/>
          <cell r="S501"/>
          <cell r="T501"/>
          <cell r="U501"/>
          <cell r="V501"/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  <cell r="AM501"/>
          <cell r="AN501"/>
          <cell r="AO501"/>
          <cell r="AP501"/>
          <cell r="AQ501"/>
          <cell r="AR501"/>
          <cell r="AS501"/>
          <cell r="AT501"/>
          <cell r="AU501"/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/>
          <cell r="BG501"/>
          <cell r="BH501"/>
          <cell r="BI501"/>
          <cell r="BJ501"/>
          <cell r="BK501"/>
        </row>
        <row r="502">
          <cell r="A502">
            <v>7891721027529</v>
          </cell>
          <cell r="B502">
            <v>1008903510104</v>
          </cell>
          <cell r="C502">
            <v>525413020044203</v>
          </cell>
          <cell r="D502" t="str">
            <v>REBIF</v>
          </cell>
          <cell r="E502" t="str">
            <v>44 MCG / ML SOL INJ CT 12 SER PREENC VD INC X 0,5 ML + CAN APLIC </v>
          </cell>
          <cell r="F502" t="str">
            <v>Solução injetável</v>
          </cell>
          <cell r="G502">
            <v>12</v>
          </cell>
          <cell r="H502" t="str">
            <v>SERINGA</v>
          </cell>
          <cell r="I502">
            <v>0.5</v>
          </cell>
          <cell r="J502" t="str">
            <v>ML</v>
          </cell>
          <cell r="K502" t="str">
            <v>Conformidade</v>
          </cell>
          <cell r="L502">
            <v>3</v>
          </cell>
          <cell r="M502" t="str">
            <v>Tarja Vermelha</v>
          </cell>
          <cell r="N502" t="str">
            <v>Não</v>
          </cell>
          <cell r="O502" t="str">
            <v>Não</v>
          </cell>
          <cell r="P502" t="str">
            <v>Não</v>
          </cell>
          <cell r="Q502" t="str">
            <v>I</v>
          </cell>
          <cell r="R502"/>
          <cell r="S502" t="str">
            <v>Similar</v>
          </cell>
          <cell r="T502" t="str">
            <v>Monitorado</v>
          </cell>
          <cell r="U502"/>
          <cell r="V502" t="str">
            <v>145258-61-3</v>
          </cell>
          <cell r="W502"/>
          <cell r="X502"/>
          <cell r="Y502" t="str">
            <v>MCG/ML</v>
          </cell>
          <cell r="Z502">
            <v>9361</v>
          </cell>
          <cell r="AA502" t="str">
            <v>459 - BETA-INTERFERONAS</v>
          </cell>
          <cell r="AB502" t="str">
            <v>N</v>
          </cell>
          <cell r="AC502" t="str">
            <v>N</v>
          </cell>
          <cell r="AD502"/>
          <cell r="AE502" t="str">
            <v>N</v>
          </cell>
          <cell r="AF502">
            <v>0</v>
          </cell>
          <cell r="AG502">
            <v>9154.8799999999992</v>
          </cell>
          <cell r="AH502">
            <v>9706.3799999999992</v>
          </cell>
          <cell r="AI502">
            <v>0</v>
          </cell>
          <cell r="AJ502">
            <v>9824.75</v>
          </cell>
          <cell r="AK502">
            <v>9946.08</v>
          </cell>
          <cell r="AL502">
            <v>0</v>
          </cell>
          <cell r="AM502">
            <v>9706.3799999999992</v>
          </cell>
          <cell r="AN502">
            <v>0</v>
          </cell>
          <cell r="AO502">
            <v>12656.08</v>
          </cell>
          <cell r="AP502">
            <v>13418.5</v>
          </cell>
          <cell r="AQ502">
            <v>0</v>
          </cell>
          <cell r="AR502">
            <v>13582.14</v>
          </cell>
          <cell r="AS502">
            <v>13749.87</v>
          </cell>
          <cell r="AT502">
            <v>0</v>
          </cell>
          <cell r="AU502">
            <v>13418.5</v>
          </cell>
          <cell r="AV502">
            <v>0</v>
          </cell>
          <cell r="AW502">
            <v>9154.8799999999992</v>
          </cell>
          <cell r="AX502">
            <v>9706.3799999999992</v>
          </cell>
          <cell r="AY502">
            <v>9765.2000000000007</v>
          </cell>
          <cell r="AZ502">
            <v>9824.75</v>
          </cell>
          <cell r="BA502">
            <v>9946.09</v>
          </cell>
          <cell r="BB502">
            <v>9946.09</v>
          </cell>
          <cell r="BC502">
            <v>9706.3799999999992</v>
          </cell>
          <cell r="BD502">
            <v>0</v>
          </cell>
          <cell r="BE502">
            <v>12656.08</v>
          </cell>
          <cell r="BF502">
            <v>13418.5</v>
          </cell>
          <cell r="BG502">
            <v>13499.82</v>
          </cell>
          <cell r="BH502">
            <v>13582.14</v>
          </cell>
          <cell r="BI502">
            <v>13749.89</v>
          </cell>
          <cell r="BJ502">
            <v>13921.7</v>
          </cell>
          <cell r="BK502">
            <v>13418.5</v>
          </cell>
        </row>
        <row r="503">
          <cell r="A503">
            <v>7891721022425</v>
          </cell>
          <cell r="B503">
            <v>1008903510041</v>
          </cell>
          <cell r="C503">
            <v>525420401153414</v>
          </cell>
          <cell r="D503" t="str">
            <v>REBIF</v>
          </cell>
          <cell r="E503" t="str">
            <v>44 MCG/ML SOL INJ CT 12 SER PREENCH VD INC X 0,5 ML </v>
          </cell>
          <cell r="F503" t="str">
            <v>Solução injetável</v>
          </cell>
          <cell r="G503">
            <v>12</v>
          </cell>
          <cell r="H503" t="str">
            <v>SERINGA</v>
          </cell>
          <cell r="I503">
            <v>0.5</v>
          </cell>
          <cell r="J503" t="str">
            <v>ML</v>
          </cell>
          <cell r="K503" t="str">
            <v>Conformidade</v>
          </cell>
          <cell r="L503">
            <v>3</v>
          </cell>
          <cell r="M503" t="str">
            <v>Tarja Vermelha</v>
          </cell>
          <cell r="N503" t="str">
            <v>Não</v>
          </cell>
          <cell r="O503" t="str">
            <v>Sim</v>
          </cell>
          <cell r="P503" t="str">
            <v>Sim</v>
          </cell>
          <cell r="Q503" t="str">
            <v>I</v>
          </cell>
          <cell r="R503"/>
          <cell r="S503" t="str">
            <v>Similar</v>
          </cell>
          <cell r="T503" t="str">
            <v>Monitorado</v>
          </cell>
          <cell r="U503"/>
          <cell r="V503" t="str">
            <v>145258-61-3</v>
          </cell>
          <cell r="W503"/>
          <cell r="X503"/>
          <cell r="Y503" t="str">
            <v>MCG/ML</v>
          </cell>
          <cell r="Z503">
            <v>9361</v>
          </cell>
          <cell r="AA503" t="str">
            <v>459 - BETA-INTERFERONAS</v>
          </cell>
          <cell r="AB503" t="str">
            <v>N</v>
          </cell>
          <cell r="AC503" t="str">
            <v>N</v>
          </cell>
          <cell r="AD503">
            <v>0</v>
          </cell>
          <cell r="AE503" t="str">
            <v>N</v>
          </cell>
          <cell r="AF503">
            <v>0</v>
          </cell>
          <cell r="AG503">
            <v>9154.8799999999992</v>
          </cell>
          <cell r="AH503">
            <v>9706.3799999999992</v>
          </cell>
          <cell r="AI503">
            <v>0</v>
          </cell>
          <cell r="AJ503">
            <v>9824.75</v>
          </cell>
          <cell r="AK503">
            <v>9946.08</v>
          </cell>
          <cell r="AL503">
            <v>0</v>
          </cell>
          <cell r="AM503">
            <v>9706.3799999999992</v>
          </cell>
          <cell r="AN503">
            <v>0</v>
          </cell>
          <cell r="AO503">
            <v>12656.08</v>
          </cell>
          <cell r="AP503">
            <v>13418.5</v>
          </cell>
          <cell r="AQ503">
            <v>0</v>
          </cell>
          <cell r="AR503">
            <v>13582.14</v>
          </cell>
          <cell r="AS503">
            <v>13749.87</v>
          </cell>
          <cell r="AT503">
            <v>0</v>
          </cell>
          <cell r="AU503">
            <v>13418.5</v>
          </cell>
          <cell r="AV503">
            <v>0</v>
          </cell>
          <cell r="AW503">
            <v>9279.3799999999992</v>
          </cell>
          <cell r="AX503">
            <v>9838.39</v>
          </cell>
          <cell r="AY503">
            <v>9898.01</v>
          </cell>
          <cell r="AZ503">
            <v>9958.3700000000008</v>
          </cell>
          <cell r="BA503">
            <v>10081.35</v>
          </cell>
          <cell r="BB503">
            <v>10081.35</v>
          </cell>
          <cell r="BC503">
            <v>9838.39</v>
          </cell>
          <cell r="BD503">
            <v>0</v>
          </cell>
          <cell r="BE503">
            <v>12828.2</v>
          </cell>
          <cell r="BF503">
            <v>13601</v>
          </cell>
          <cell r="BG503">
            <v>13683.42</v>
          </cell>
          <cell r="BH503">
            <v>13766.86</v>
          </cell>
          <cell r="BI503">
            <v>13936.87</v>
          </cell>
          <cell r="BJ503">
            <v>14111.03</v>
          </cell>
          <cell r="BK503">
            <v>13601</v>
          </cell>
        </row>
        <row r="504">
          <cell r="A504"/>
          <cell r="B504"/>
          <cell r="C504"/>
          <cell r="D504"/>
          <cell r="E504"/>
          <cell r="F504"/>
          <cell r="G504"/>
          <cell r="H504"/>
          <cell r="I504"/>
          <cell r="J504"/>
          <cell r="K504"/>
          <cell r="L504"/>
          <cell r="M504"/>
          <cell r="N504"/>
          <cell r="O504"/>
          <cell r="P504"/>
          <cell r="Q504"/>
          <cell r="R504"/>
          <cell r="S504"/>
          <cell r="T504"/>
          <cell r="U504"/>
          <cell r="V504"/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  <cell r="AM504"/>
          <cell r="AN504"/>
          <cell r="AO504"/>
          <cell r="AP504"/>
          <cell r="AQ504"/>
          <cell r="AR504"/>
          <cell r="AS504"/>
          <cell r="AT504"/>
          <cell r="AU504"/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/>
          <cell r="BG504"/>
          <cell r="BH504"/>
          <cell r="BI504"/>
          <cell r="BJ504"/>
          <cell r="BK504"/>
        </row>
        <row r="505">
          <cell r="A505"/>
          <cell r="B505"/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/>
          <cell r="P505"/>
          <cell r="Q505"/>
          <cell r="R505"/>
          <cell r="S505"/>
          <cell r="T505"/>
          <cell r="U505"/>
          <cell r="V505"/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/>
          <cell r="AI505"/>
          <cell r="AJ505"/>
          <cell r="AK505"/>
          <cell r="AL505"/>
          <cell r="AM505"/>
          <cell r="AN505"/>
          <cell r="AO505"/>
          <cell r="AP505"/>
          <cell r="AQ505"/>
          <cell r="AR505"/>
          <cell r="AS505"/>
          <cell r="AT505"/>
          <cell r="AU505"/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/>
          <cell r="BG505"/>
          <cell r="BH505"/>
          <cell r="BI505"/>
          <cell r="BJ505"/>
          <cell r="BK505"/>
        </row>
        <row r="506">
          <cell r="A506"/>
          <cell r="B506"/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/>
          <cell r="U506"/>
          <cell r="V506"/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  <cell r="AM506"/>
          <cell r="AN506"/>
          <cell r="AO506"/>
          <cell r="AP506"/>
          <cell r="AQ506"/>
          <cell r="AR506"/>
          <cell r="AS506"/>
          <cell r="AT506"/>
          <cell r="AU506"/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/>
          <cell r="BG506"/>
          <cell r="BH506"/>
          <cell r="BI506"/>
          <cell r="BJ506"/>
          <cell r="BK506"/>
        </row>
        <row r="507">
          <cell r="A507">
            <v>7891721024290</v>
          </cell>
          <cell r="B507">
            <v>1008903510058</v>
          </cell>
          <cell r="C507">
            <v>525413010043603</v>
          </cell>
          <cell r="D507" t="str">
            <v>REBIF</v>
          </cell>
          <cell r="E507" t="str">
            <v>66 MCG/1,5 ML SOL INJ CT 4 FA VD INC X 1,5 ML </v>
          </cell>
          <cell r="F507" t="str">
            <v>Solução injetável</v>
          </cell>
          <cell r="G507">
            <v>4</v>
          </cell>
          <cell r="H507" t="str">
            <v>FRASCO-AMPOLA</v>
          </cell>
          <cell r="I507">
            <v>1.5</v>
          </cell>
          <cell r="J507" t="str">
            <v>ML</v>
          </cell>
          <cell r="K507" t="str">
            <v>Conformidade</v>
          </cell>
          <cell r="L507">
            <v>3</v>
          </cell>
          <cell r="M507" t="str">
            <v>Tarja Vermelha</v>
          </cell>
          <cell r="N507" t="str">
            <v>Não</v>
          </cell>
          <cell r="O507" t="str">
            <v>Não</v>
          </cell>
          <cell r="P507" t="str">
            <v>Não</v>
          </cell>
          <cell r="Q507" t="str">
            <v>I</v>
          </cell>
          <cell r="R507"/>
          <cell r="S507" t="str">
            <v>Similar</v>
          </cell>
          <cell r="T507" t="str">
            <v>Monitorado</v>
          </cell>
          <cell r="U507"/>
          <cell r="V507" t="str">
            <v>145258-61-3</v>
          </cell>
          <cell r="W507"/>
          <cell r="X507"/>
          <cell r="Y507" t="str">
            <v>MCG/ML</v>
          </cell>
          <cell r="Z507">
            <v>9361</v>
          </cell>
          <cell r="AA507" t="str">
            <v>459 - BETA-INTERFERONAS</v>
          </cell>
          <cell r="AB507" t="str">
            <v>N</v>
          </cell>
          <cell r="AC507" t="str">
            <v>N</v>
          </cell>
          <cell r="AD507"/>
          <cell r="AE507" t="str">
            <v>N</v>
          </cell>
          <cell r="AF507">
            <v>0</v>
          </cell>
          <cell r="AG507">
            <v>8047.04</v>
          </cell>
          <cell r="AH507">
            <v>8531.7999999999993</v>
          </cell>
          <cell r="AI507">
            <v>0</v>
          </cell>
          <cell r="AJ507">
            <v>8635.85</v>
          </cell>
          <cell r="AK507">
            <v>8742.5</v>
          </cell>
          <cell r="AL507">
            <v>0</v>
          </cell>
          <cell r="AM507">
            <v>8531.7999999999993</v>
          </cell>
          <cell r="AN507">
            <v>0</v>
          </cell>
          <cell r="AO507">
            <v>11124.56</v>
          </cell>
          <cell r="AP507">
            <v>11794.71</v>
          </cell>
          <cell r="AQ507">
            <v>0</v>
          </cell>
          <cell r="AR507">
            <v>11938.55</v>
          </cell>
          <cell r="AS507">
            <v>12085.99</v>
          </cell>
          <cell r="AT507">
            <v>0</v>
          </cell>
          <cell r="AU507">
            <v>11794.71</v>
          </cell>
          <cell r="AV507">
            <v>0</v>
          </cell>
          <cell r="AW507">
            <v>8047.04</v>
          </cell>
          <cell r="AX507">
            <v>8531.81</v>
          </cell>
          <cell r="AY507">
            <v>8583.51</v>
          </cell>
          <cell r="AZ507">
            <v>8635.85</v>
          </cell>
          <cell r="BA507">
            <v>8742.5</v>
          </cell>
          <cell r="BB507">
            <v>8742.5</v>
          </cell>
          <cell r="BC507">
            <v>8531.81</v>
          </cell>
          <cell r="BD507">
            <v>0</v>
          </cell>
          <cell r="BE507">
            <v>11124.56</v>
          </cell>
          <cell r="BF507">
            <v>11794.73</v>
          </cell>
          <cell r="BG507">
            <v>11866.2</v>
          </cell>
          <cell r="BH507">
            <v>11938.56</v>
          </cell>
          <cell r="BI507">
            <v>12085.99</v>
          </cell>
          <cell r="BJ507">
            <v>12237.03</v>
          </cell>
          <cell r="BK507">
            <v>11794.73</v>
          </cell>
        </row>
        <row r="508">
          <cell r="A508">
            <v>7891721201219</v>
          </cell>
          <cell r="B508">
            <v>1008903490022</v>
          </cell>
          <cell r="C508">
            <v>525420201111114</v>
          </cell>
          <cell r="D508" t="str">
            <v>RISPERIDONA</v>
          </cell>
          <cell r="E508" t="str">
            <v>1 MG COM REV CT BL AL PLAS INC X 30</v>
          </cell>
          <cell r="F508" t="str">
            <v>Comprimido revestido</v>
          </cell>
          <cell r="G508"/>
          <cell r="H508"/>
          <cell r="I508">
            <v>30</v>
          </cell>
          <cell r="J508"/>
          <cell r="K508" t="str">
            <v>Conformidade</v>
          </cell>
          <cell r="L508">
            <v>1</v>
          </cell>
          <cell r="M508" t="str">
            <v>Tarja Vermelha</v>
          </cell>
          <cell r="N508" t="str">
            <v>Não</v>
          </cell>
          <cell r="O508" t="str">
            <v>Não</v>
          </cell>
          <cell r="P508" t="str">
            <v>Sim</v>
          </cell>
          <cell r="Q508" t="str">
            <v>I</v>
          </cell>
          <cell r="R508"/>
          <cell r="S508" t="str">
            <v>Genérico</v>
          </cell>
          <cell r="T508" t="str">
            <v>Monitorado</v>
          </cell>
          <cell r="U508"/>
          <cell r="V508" t="str">
            <v>106266-06-2</v>
          </cell>
          <cell r="W508"/>
          <cell r="X508"/>
          <cell r="Y508" t="str">
            <v>MG</v>
          </cell>
          <cell r="Z508">
            <v>7748</v>
          </cell>
          <cell r="AA508" t="str">
            <v>493 - ANTIPSICÓTICOS ATÍPICOS</v>
          </cell>
          <cell r="AB508" t="str">
            <v>N</v>
          </cell>
          <cell r="AC508" t="str">
            <v>N</v>
          </cell>
          <cell r="AD508">
            <v>0</v>
          </cell>
          <cell r="AE508" t="str">
            <v>S</v>
          </cell>
          <cell r="AF508">
            <v>0</v>
          </cell>
          <cell r="AG508">
            <v>33.11</v>
          </cell>
          <cell r="AH508">
            <v>35.1</v>
          </cell>
          <cell r="AI508">
            <v>0</v>
          </cell>
          <cell r="AJ508">
            <v>35.53</v>
          </cell>
          <cell r="AK508">
            <v>35.97</v>
          </cell>
          <cell r="AL508">
            <v>0</v>
          </cell>
          <cell r="AM508">
            <v>35.1</v>
          </cell>
          <cell r="AN508">
            <v>0</v>
          </cell>
          <cell r="AO508">
            <v>45.77</v>
          </cell>
          <cell r="AP508">
            <v>48.52</v>
          </cell>
          <cell r="AQ508">
            <v>0</v>
          </cell>
          <cell r="AR508">
            <v>49.12</v>
          </cell>
          <cell r="AS508">
            <v>49.73</v>
          </cell>
          <cell r="AT508">
            <v>0</v>
          </cell>
          <cell r="AU508">
            <v>48.52</v>
          </cell>
          <cell r="AV508">
            <v>0</v>
          </cell>
          <cell r="AW508">
            <v>34.68</v>
          </cell>
          <cell r="AX508">
            <v>36.770000000000003</v>
          </cell>
          <cell r="AY508">
            <v>36.99</v>
          </cell>
          <cell r="AZ508">
            <v>37.22</v>
          </cell>
          <cell r="BA508">
            <v>37.68</v>
          </cell>
          <cell r="BB508">
            <v>37.68</v>
          </cell>
          <cell r="BC508">
            <v>36.770000000000003</v>
          </cell>
          <cell r="BD508">
            <v>0</v>
          </cell>
          <cell r="BE508">
            <v>47.94</v>
          </cell>
          <cell r="BF508">
            <v>50.83</v>
          </cell>
          <cell r="BG508">
            <v>51.14</v>
          </cell>
          <cell r="BH508">
            <v>51.45</v>
          </cell>
          <cell r="BI508">
            <v>52.09</v>
          </cell>
          <cell r="BJ508">
            <v>52.74</v>
          </cell>
          <cell r="BK508">
            <v>50.83</v>
          </cell>
        </row>
        <row r="509">
          <cell r="A509"/>
          <cell r="B509"/>
          <cell r="C509"/>
          <cell r="D509"/>
          <cell r="E509"/>
          <cell r="F509"/>
          <cell r="G509"/>
          <cell r="H509"/>
          <cell r="I509"/>
          <cell r="J509"/>
          <cell r="K509"/>
          <cell r="L509"/>
          <cell r="M509"/>
          <cell r="N509"/>
          <cell r="O509"/>
          <cell r="P509"/>
          <cell r="Q509"/>
          <cell r="R509"/>
          <cell r="S509"/>
          <cell r="T509"/>
          <cell r="U509"/>
          <cell r="V509"/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  <cell r="AM509"/>
          <cell r="AN509"/>
          <cell r="AO509"/>
          <cell r="AP509"/>
          <cell r="AQ509"/>
          <cell r="AR509"/>
          <cell r="AS509"/>
          <cell r="AT509"/>
          <cell r="AU509"/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/>
          <cell r="BG509"/>
          <cell r="BH509"/>
          <cell r="BI509"/>
          <cell r="BJ509"/>
          <cell r="BK509"/>
        </row>
        <row r="510">
          <cell r="A510">
            <v>7891721201233</v>
          </cell>
          <cell r="B510">
            <v>1008903490057</v>
          </cell>
          <cell r="C510">
            <v>525420202118112</v>
          </cell>
          <cell r="D510" t="str">
            <v>RISPERIDONA</v>
          </cell>
          <cell r="E510" t="str">
            <v>2 MG COM REV CT BL AL PLAS INC X 30</v>
          </cell>
          <cell r="F510" t="str">
            <v>Comprimido revestido</v>
          </cell>
          <cell r="G510"/>
          <cell r="H510"/>
          <cell r="I510">
            <v>30</v>
          </cell>
          <cell r="J510"/>
          <cell r="K510" t="str">
            <v>Conformidade</v>
          </cell>
          <cell r="L510">
            <v>1</v>
          </cell>
          <cell r="M510" t="str">
            <v>Tarja Vermelha</v>
          </cell>
          <cell r="N510" t="str">
            <v>Não</v>
          </cell>
          <cell r="O510" t="str">
            <v>Não</v>
          </cell>
          <cell r="P510" t="str">
            <v>Sim</v>
          </cell>
          <cell r="Q510" t="str">
            <v>I</v>
          </cell>
          <cell r="R510"/>
          <cell r="S510" t="str">
            <v>Genérico</v>
          </cell>
          <cell r="T510" t="str">
            <v>Monitorado</v>
          </cell>
          <cell r="U510"/>
          <cell r="V510" t="str">
            <v>106266-06-2</v>
          </cell>
          <cell r="W510"/>
          <cell r="X510"/>
          <cell r="Y510" t="str">
            <v>MG</v>
          </cell>
          <cell r="Z510">
            <v>7748</v>
          </cell>
          <cell r="AA510" t="str">
            <v>493 - ANTIPSICÓTICOS ATÍPICOS</v>
          </cell>
          <cell r="AB510" t="str">
            <v>N</v>
          </cell>
          <cell r="AC510" t="str">
            <v>N</v>
          </cell>
          <cell r="AD510">
            <v>0</v>
          </cell>
          <cell r="AE510" t="str">
            <v>S</v>
          </cell>
          <cell r="AF510">
            <v>0</v>
          </cell>
          <cell r="AG510">
            <v>41.85</v>
          </cell>
          <cell r="AH510">
            <v>44.37</v>
          </cell>
          <cell r="AI510">
            <v>0</v>
          </cell>
          <cell r="AJ510">
            <v>44.91</v>
          </cell>
          <cell r="AK510">
            <v>45.46</v>
          </cell>
          <cell r="AL510">
            <v>0</v>
          </cell>
          <cell r="AM510">
            <v>44.37</v>
          </cell>
          <cell r="AN510">
            <v>0</v>
          </cell>
          <cell r="AO510">
            <v>57.86</v>
          </cell>
          <cell r="AP510">
            <v>61.34</v>
          </cell>
          <cell r="AQ510">
            <v>0</v>
          </cell>
          <cell r="AR510">
            <v>62.09</v>
          </cell>
          <cell r="AS510">
            <v>62.85</v>
          </cell>
          <cell r="AT510">
            <v>0</v>
          </cell>
          <cell r="AU510">
            <v>61.34</v>
          </cell>
          <cell r="AV510">
            <v>0</v>
          </cell>
          <cell r="AW510">
            <v>43.84</v>
          </cell>
          <cell r="AX510">
            <v>46.48</v>
          </cell>
          <cell r="AY510">
            <v>46.76</v>
          </cell>
          <cell r="AZ510">
            <v>47.05</v>
          </cell>
          <cell r="BA510">
            <v>47.63</v>
          </cell>
          <cell r="BB510">
            <v>47.63</v>
          </cell>
          <cell r="BC510">
            <v>46.48</v>
          </cell>
          <cell r="BD510">
            <v>0</v>
          </cell>
          <cell r="BE510">
            <v>60.61</v>
          </cell>
          <cell r="BF510">
            <v>64.260000000000005</v>
          </cell>
          <cell r="BG510">
            <v>64.64</v>
          </cell>
          <cell r="BH510">
            <v>65.040000000000006</v>
          </cell>
          <cell r="BI510">
            <v>65.849999999999994</v>
          </cell>
          <cell r="BJ510">
            <v>66.66</v>
          </cell>
          <cell r="BK510">
            <v>64.260000000000005</v>
          </cell>
        </row>
        <row r="511">
          <cell r="A511"/>
          <cell r="B511"/>
          <cell r="C511"/>
          <cell r="D511"/>
          <cell r="E511"/>
          <cell r="F511"/>
          <cell r="G511"/>
          <cell r="H511"/>
          <cell r="I511"/>
          <cell r="J511"/>
          <cell r="K511"/>
          <cell r="L511"/>
          <cell r="M511"/>
          <cell r="N511"/>
          <cell r="O511"/>
          <cell r="P511"/>
          <cell r="Q511"/>
          <cell r="R511"/>
          <cell r="S511"/>
          <cell r="T511"/>
          <cell r="U511"/>
          <cell r="V511"/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  <cell r="AM511"/>
          <cell r="AN511"/>
          <cell r="AO511"/>
          <cell r="AP511"/>
          <cell r="AQ511"/>
          <cell r="AR511"/>
          <cell r="AS511"/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/>
          <cell r="BG511"/>
          <cell r="BH511"/>
          <cell r="BI511"/>
          <cell r="BJ511"/>
          <cell r="BK511"/>
        </row>
        <row r="512">
          <cell r="A512">
            <v>7891721201257</v>
          </cell>
          <cell r="B512">
            <v>1008903490081</v>
          </cell>
          <cell r="C512">
            <v>525420203114110</v>
          </cell>
          <cell r="D512" t="str">
            <v>RISPERIDONA</v>
          </cell>
          <cell r="E512" t="str">
            <v>3 MG COM REV CT BL AL PLAS INC X 30</v>
          </cell>
          <cell r="F512" t="str">
            <v>Comprimido revestido</v>
          </cell>
          <cell r="G512"/>
          <cell r="H512"/>
          <cell r="I512">
            <v>30</v>
          </cell>
          <cell r="J512"/>
          <cell r="K512" t="str">
            <v>Conformidade</v>
          </cell>
          <cell r="L512">
            <v>1</v>
          </cell>
          <cell r="M512" t="str">
            <v>Tarja Vermelha</v>
          </cell>
          <cell r="N512" t="str">
            <v>Não</v>
          </cell>
          <cell r="O512" t="str">
            <v>Não</v>
          </cell>
          <cell r="P512" t="str">
            <v>Sim</v>
          </cell>
          <cell r="Q512" t="str">
            <v>I</v>
          </cell>
          <cell r="R512"/>
          <cell r="S512" t="str">
            <v>Genérico</v>
          </cell>
          <cell r="T512" t="str">
            <v>Monitorado</v>
          </cell>
          <cell r="U512"/>
          <cell r="V512" t="str">
            <v>106266-06-2</v>
          </cell>
          <cell r="W512"/>
          <cell r="X512"/>
          <cell r="Y512" t="str">
            <v>MG</v>
          </cell>
          <cell r="Z512">
            <v>7748</v>
          </cell>
          <cell r="AA512" t="str">
            <v>493 - ANTIPSICÓTICOS ATÍPICOS</v>
          </cell>
          <cell r="AB512" t="str">
            <v>N</v>
          </cell>
          <cell r="AC512" t="str">
            <v>N</v>
          </cell>
          <cell r="AD512">
            <v>0</v>
          </cell>
          <cell r="AE512" t="str">
            <v>S</v>
          </cell>
          <cell r="AF512">
            <v>0</v>
          </cell>
          <cell r="AG512">
            <v>88.67</v>
          </cell>
          <cell r="AH512">
            <v>94.01</v>
          </cell>
          <cell r="AI512">
            <v>0</v>
          </cell>
          <cell r="AJ512">
            <v>95.16</v>
          </cell>
          <cell r="AK512">
            <v>96.34</v>
          </cell>
          <cell r="AL512">
            <v>0</v>
          </cell>
          <cell r="AM512">
            <v>94.01</v>
          </cell>
          <cell r="AN512">
            <v>0</v>
          </cell>
          <cell r="AO512">
            <v>122.58</v>
          </cell>
          <cell r="AP512">
            <v>129.96</v>
          </cell>
          <cell r="AQ512">
            <v>0</v>
          </cell>
          <cell r="AR512">
            <v>131.55000000000001</v>
          </cell>
          <cell r="AS512">
            <v>133.18</v>
          </cell>
          <cell r="AT512">
            <v>0</v>
          </cell>
          <cell r="AU512">
            <v>129.96</v>
          </cell>
          <cell r="AV512">
            <v>0</v>
          </cell>
          <cell r="AW512">
            <v>92.89</v>
          </cell>
          <cell r="AX512">
            <v>98.49</v>
          </cell>
          <cell r="AY512">
            <v>99.08</v>
          </cell>
          <cell r="AZ512">
            <v>99.69</v>
          </cell>
          <cell r="BA512">
            <v>100.92</v>
          </cell>
          <cell r="BB512">
            <v>100.92</v>
          </cell>
          <cell r="BC512">
            <v>98.49</v>
          </cell>
          <cell r="BD512">
            <v>0</v>
          </cell>
          <cell r="BE512">
            <v>128.41</v>
          </cell>
          <cell r="BF512">
            <v>136.16</v>
          </cell>
          <cell r="BG512">
            <v>136.97</v>
          </cell>
          <cell r="BH512">
            <v>137.81</v>
          </cell>
          <cell r="BI512">
            <v>139.52000000000001</v>
          </cell>
          <cell r="BJ512">
            <v>141.26</v>
          </cell>
          <cell r="BK512">
            <v>136.16</v>
          </cell>
        </row>
        <row r="513">
          <cell r="A513"/>
          <cell r="B513"/>
          <cell r="C513"/>
          <cell r="D513"/>
          <cell r="E513"/>
          <cell r="F513"/>
          <cell r="G513"/>
          <cell r="H513"/>
          <cell r="I513"/>
          <cell r="J513"/>
          <cell r="K513"/>
          <cell r="L513"/>
          <cell r="M513"/>
          <cell r="N513"/>
          <cell r="O513"/>
          <cell r="P513"/>
          <cell r="Q513"/>
          <cell r="R513"/>
          <cell r="S513"/>
          <cell r="T513"/>
          <cell r="U513"/>
          <cell r="V513"/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  <cell r="AM513"/>
          <cell r="AN513"/>
          <cell r="AO513"/>
          <cell r="AP513"/>
          <cell r="AQ513"/>
          <cell r="AR513"/>
          <cell r="AS513"/>
          <cell r="AT513"/>
          <cell r="AU513"/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/>
          <cell r="BG513"/>
          <cell r="BH513"/>
          <cell r="BI513"/>
          <cell r="BJ513"/>
          <cell r="BK513"/>
        </row>
        <row r="514">
          <cell r="A514">
            <v>7891721012976</v>
          </cell>
          <cell r="B514">
            <v>1008903870070</v>
          </cell>
          <cell r="C514">
            <v>525407803111417</v>
          </cell>
          <cell r="D514" t="str">
            <v>ROXFLAN</v>
          </cell>
          <cell r="E514" t="str">
            <v>10 MG COM CT BL AL PLAS OPC X 30</v>
          </cell>
          <cell r="F514" t="str">
            <v>Comprimido</v>
          </cell>
          <cell r="G514"/>
          <cell r="H514"/>
          <cell r="I514">
            <v>30</v>
          </cell>
          <cell r="J514"/>
          <cell r="K514" t="str">
            <v>Conformidade</v>
          </cell>
          <cell r="L514">
            <v>1</v>
          </cell>
          <cell r="M514" t="str">
            <v>Tarja Vermelha</v>
          </cell>
          <cell r="N514" t="str">
            <v>Não</v>
          </cell>
          <cell r="O514" t="str">
            <v>Não</v>
          </cell>
          <cell r="P514" t="str">
            <v>Não</v>
          </cell>
          <cell r="Q514" t="str">
            <v>I</v>
          </cell>
          <cell r="R514"/>
          <cell r="S514" t="str">
            <v>Similar</v>
          </cell>
          <cell r="T514" t="str">
            <v>Monitorado</v>
          </cell>
          <cell r="U514"/>
          <cell r="V514" t="str">
            <v>111470-99-6</v>
          </cell>
          <cell r="W514"/>
          <cell r="X514"/>
          <cell r="Y514" t="str">
            <v>MG</v>
          </cell>
          <cell r="Z514">
            <v>805</v>
          </cell>
          <cell r="AA514" t="str">
            <v>195 - ANTAGONISTAS DO CÁLCIO PUROS</v>
          </cell>
          <cell r="AB514" t="str">
            <v>N</v>
          </cell>
          <cell r="AC514" t="str">
            <v>N</v>
          </cell>
          <cell r="AD514">
            <v>0</v>
          </cell>
          <cell r="AE514" t="str">
            <v>N</v>
          </cell>
          <cell r="AF514">
            <v>0</v>
          </cell>
          <cell r="AG514">
            <v>25.68</v>
          </cell>
          <cell r="AH514">
            <v>27.23</v>
          </cell>
          <cell r="AI514">
            <v>0</v>
          </cell>
          <cell r="AJ514">
            <v>27.56</v>
          </cell>
          <cell r="AK514">
            <v>27.9</v>
          </cell>
          <cell r="AL514">
            <v>0</v>
          </cell>
          <cell r="AM514">
            <v>27.23</v>
          </cell>
          <cell r="AN514">
            <v>0</v>
          </cell>
          <cell r="AO514">
            <v>35.5</v>
          </cell>
          <cell r="AP514">
            <v>37.64</v>
          </cell>
          <cell r="AQ514">
            <v>0</v>
          </cell>
          <cell r="AR514">
            <v>38.1</v>
          </cell>
          <cell r="AS514">
            <v>38.57</v>
          </cell>
          <cell r="AT514">
            <v>0</v>
          </cell>
          <cell r="AU514">
            <v>37.64</v>
          </cell>
          <cell r="AV514">
            <v>0</v>
          </cell>
          <cell r="AW514">
            <v>26.9</v>
          </cell>
          <cell r="AX514">
            <v>28.52</v>
          </cell>
          <cell r="AY514">
            <v>28.7</v>
          </cell>
          <cell r="AZ514">
            <v>28.87</v>
          </cell>
          <cell r="BA514">
            <v>29.23</v>
          </cell>
          <cell r="BB514">
            <v>29.23</v>
          </cell>
          <cell r="BC514">
            <v>28.52</v>
          </cell>
          <cell r="BD514">
            <v>0</v>
          </cell>
          <cell r="BE514">
            <v>37.19</v>
          </cell>
          <cell r="BF514">
            <v>39.43</v>
          </cell>
          <cell r="BG514">
            <v>39.68</v>
          </cell>
          <cell r="BH514">
            <v>39.909999999999997</v>
          </cell>
          <cell r="BI514">
            <v>40.409999999999997</v>
          </cell>
          <cell r="BJ514">
            <v>40.909999999999997</v>
          </cell>
          <cell r="BK514">
            <v>39.43</v>
          </cell>
        </row>
        <row r="515">
          <cell r="A515"/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  <cell r="AQ515"/>
          <cell r="AR515"/>
          <cell r="AS515"/>
          <cell r="AT515"/>
          <cell r="AU515"/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/>
          <cell r="BG515"/>
          <cell r="BH515"/>
          <cell r="BI515"/>
          <cell r="BJ515"/>
          <cell r="BK515"/>
        </row>
        <row r="516">
          <cell r="A516">
            <v>7891721001932</v>
          </cell>
          <cell r="B516">
            <v>1008903870011</v>
          </cell>
          <cell r="C516">
            <v>525407802115419</v>
          </cell>
          <cell r="D516" t="str">
            <v>ROXFLAN</v>
          </cell>
          <cell r="E516" t="str">
            <v>5 MG COM CT BL AL PLAS OPC X 20</v>
          </cell>
          <cell r="F516" t="str">
            <v>Comprimido</v>
          </cell>
          <cell r="G516"/>
          <cell r="H516"/>
          <cell r="I516">
            <v>20</v>
          </cell>
          <cell r="J516"/>
          <cell r="K516" t="str">
            <v>Conformidade</v>
          </cell>
          <cell r="L516">
            <v>1</v>
          </cell>
          <cell r="M516" t="str">
            <v>Tarja Vermelha</v>
          </cell>
          <cell r="N516" t="str">
            <v>Não</v>
          </cell>
          <cell r="O516" t="str">
            <v>Não</v>
          </cell>
          <cell r="P516" t="str">
            <v>Não</v>
          </cell>
          <cell r="Q516" t="str">
            <v>I</v>
          </cell>
          <cell r="R516"/>
          <cell r="S516" t="str">
            <v>Similar</v>
          </cell>
          <cell r="T516" t="str">
            <v>Monitorado</v>
          </cell>
          <cell r="U516"/>
          <cell r="V516" t="str">
            <v>111470-99-6</v>
          </cell>
          <cell r="W516"/>
          <cell r="X516"/>
          <cell r="Y516" t="str">
            <v>MG</v>
          </cell>
          <cell r="Z516">
            <v>805</v>
          </cell>
          <cell r="AA516" t="str">
            <v>195 - ANTAGONISTAS DO CÁLCIO PUROS</v>
          </cell>
          <cell r="AB516" t="str">
            <v>N</v>
          </cell>
          <cell r="AC516" t="str">
            <v>N</v>
          </cell>
          <cell r="AD516">
            <v>0</v>
          </cell>
          <cell r="AE516" t="str">
            <v>N</v>
          </cell>
          <cell r="AF516">
            <v>0</v>
          </cell>
          <cell r="AG516">
            <v>8.67</v>
          </cell>
          <cell r="AH516">
            <v>9.19</v>
          </cell>
          <cell r="AI516">
            <v>0</v>
          </cell>
          <cell r="AJ516">
            <v>9.3000000000000007</v>
          </cell>
          <cell r="AK516">
            <v>9.42</v>
          </cell>
          <cell r="AL516">
            <v>0</v>
          </cell>
          <cell r="AM516">
            <v>9.19</v>
          </cell>
          <cell r="AN516">
            <v>0</v>
          </cell>
          <cell r="AO516">
            <v>11.99</v>
          </cell>
          <cell r="AP516">
            <v>12.7</v>
          </cell>
          <cell r="AQ516">
            <v>0</v>
          </cell>
          <cell r="AR516">
            <v>12.86</v>
          </cell>
          <cell r="AS516">
            <v>13.02</v>
          </cell>
          <cell r="AT516">
            <v>0</v>
          </cell>
          <cell r="AU516">
            <v>12.7</v>
          </cell>
          <cell r="AV516">
            <v>0</v>
          </cell>
          <cell r="AW516">
            <v>9.08</v>
          </cell>
          <cell r="AX516">
            <v>9.6199999999999992</v>
          </cell>
          <cell r="AY516">
            <v>9.68</v>
          </cell>
          <cell r="AZ516">
            <v>9.74</v>
          </cell>
          <cell r="BA516">
            <v>9.86</v>
          </cell>
          <cell r="BB516">
            <v>9.86</v>
          </cell>
          <cell r="BC516">
            <v>9.6199999999999992</v>
          </cell>
          <cell r="BD516">
            <v>0</v>
          </cell>
          <cell r="BE516">
            <v>12.55</v>
          </cell>
          <cell r="BF516">
            <v>13.3</v>
          </cell>
          <cell r="BG516">
            <v>13.38</v>
          </cell>
          <cell r="BH516">
            <v>13.47</v>
          </cell>
          <cell r="BI516">
            <v>13.63</v>
          </cell>
          <cell r="BJ516">
            <v>13.81</v>
          </cell>
          <cell r="BK516">
            <v>13.3</v>
          </cell>
        </row>
        <row r="517">
          <cell r="A517">
            <v>7891721012969</v>
          </cell>
          <cell r="B517">
            <v>1008903870089</v>
          </cell>
          <cell r="C517">
            <v>525407804118415</v>
          </cell>
          <cell r="D517" t="str">
            <v>ROXFLAN</v>
          </cell>
          <cell r="E517" t="str">
            <v>5 MG COM CT BL AL PLAS OPC X 30</v>
          </cell>
          <cell r="F517" t="str">
            <v>Comprimido</v>
          </cell>
          <cell r="G517"/>
          <cell r="H517"/>
          <cell r="I517">
            <v>30</v>
          </cell>
          <cell r="J517"/>
          <cell r="K517" t="str">
            <v>Conformidade</v>
          </cell>
          <cell r="L517">
            <v>1</v>
          </cell>
          <cell r="M517" t="str">
            <v>Tarja Vermelha</v>
          </cell>
          <cell r="N517" t="str">
            <v>Não</v>
          </cell>
          <cell r="O517" t="str">
            <v>Não</v>
          </cell>
          <cell r="P517" t="str">
            <v>Não</v>
          </cell>
          <cell r="Q517" t="str">
            <v>I</v>
          </cell>
          <cell r="R517"/>
          <cell r="S517" t="str">
            <v>Similar</v>
          </cell>
          <cell r="T517" t="str">
            <v>Monitorado</v>
          </cell>
          <cell r="U517"/>
          <cell r="V517" t="str">
            <v>111470-99-6</v>
          </cell>
          <cell r="W517"/>
          <cell r="X517"/>
          <cell r="Y517" t="str">
            <v>MG</v>
          </cell>
          <cell r="Z517">
            <v>805</v>
          </cell>
          <cell r="AA517" t="str">
            <v>195 - ANTAGONISTAS DO CÁLCIO PUROS</v>
          </cell>
          <cell r="AB517" t="str">
            <v>N</v>
          </cell>
          <cell r="AC517" t="str">
            <v>N</v>
          </cell>
          <cell r="AD517">
            <v>0</v>
          </cell>
          <cell r="AE517" t="str">
            <v>N</v>
          </cell>
          <cell r="AF517">
            <v>0</v>
          </cell>
          <cell r="AG517">
            <v>12.99</v>
          </cell>
          <cell r="AH517">
            <v>13.77</v>
          </cell>
          <cell r="AI517">
            <v>0</v>
          </cell>
          <cell r="AJ517">
            <v>13.94</v>
          </cell>
          <cell r="AK517">
            <v>14.11</v>
          </cell>
          <cell r="AL517">
            <v>0</v>
          </cell>
          <cell r="AM517">
            <v>13.77</v>
          </cell>
          <cell r="AN517">
            <v>0</v>
          </cell>
          <cell r="AO517">
            <v>17.96</v>
          </cell>
          <cell r="AP517">
            <v>19.04</v>
          </cell>
          <cell r="AQ517">
            <v>0</v>
          </cell>
          <cell r="AR517">
            <v>19.27</v>
          </cell>
          <cell r="AS517">
            <v>19.510000000000002</v>
          </cell>
          <cell r="AT517">
            <v>0</v>
          </cell>
          <cell r="AU517">
            <v>19.04</v>
          </cell>
          <cell r="AV517">
            <v>0</v>
          </cell>
          <cell r="AW517">
            <v>13.61</v>
          </cell>
          <cell r="AX517">
            <v>14.43</v>
          </cell>
          <cell r="AY517">
            <v>14.51</v>
          </cell>
          <cell r="AZ517">
            <v>14.6</v>
          </cell>
          <cell r="BA517">
            <v>14.78</v>
          </cell>
          <cell r="BB517">
            <v>14.78</v>
          </cell>
          <cell r="BC517">
            <v>14.43</v>
          </cell>
          <cell r="BD517">
            <v>0</v>
          </cell>
          <cell r="BE517">
            <v>18.82</v>
          </cell>
          <cell r="BF517">
            <v>19.95</v>
          </cell>
          <cell r="BG517">
            <v>20.059999999999999</v>
          </cell>
          <cell r="BH517">
            <v>20.190000000000001</v>
          </cell>
          <cell r="BI517">
            <v>20.43</v>
          </cell>
          <cell r="BJ517">
            <v>20.7</v>
          </cell>
          <cell r="BK517">
            <v>19.95</v>
          </cell>
        </row>
        <row r="518">
          <cell r="A518"/>
          <cell r="B518"/>
          <cell r="C518"/>
          <cell r="D518"/>
          <cell r="E518"/>
          <cell r="F518"/>
          <cell r="G518"/>
          <cell r="H518"/>
          <cell r="I518"/>
          <cell r="J518"/>
          <cell r="K518"/>
          <cell r="L518"/>
          <cell r="M518"/>
          <cell r="N518"/>
          <cell r="O518"/>
          <cell r="P518"/>
          <cell r="Q518"/>
          <cell r="R518"/>
          <cell r="S518"/>
          <cell r="T518"/>
          <cell r="U518"/>
          <cell r="V518"/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  <cell r="AM518"/>
          <cell r="AN518"/>
          <cell r="AO518"/>
          <cell r="AP518"/>
          <cell r="AQ518"/>
          <cell r="AR518"/>
          <cell r="AS518"/>
          <cell r="AT518"/>
          <cell r="AU518"/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/>
          <cell r="BG518"/>
          <cell r="BH518"/>
          <cell r="BI518"/>
          <cell r="BJ518"/>
          <cell r="BK518"/>
        </row>
        <row r="519">
          <cell r="A519">
            <v>7891721022463</v>
          </cell>
          <cell r="B519">
            <v>1008903500011</v>
          </cell>
          <cell r="C519">
            <v>525420501158310</v>
          </cell>
          <cell r="D519" t="str">
            <v>SAIZEN</v>
          </cell>
          <cell r="E519" t="str">
            <v>1,33 MG PO LIOF INJ CT 1 FA VD INC + AMP DIL X 1 ML</v>
          </cell>
          <cell r="F519" t="str">
            <v>PÓ LIOFILIZADO INJETÁVEL</v>
          </cell>
          <cell r="G519">
            <v>1</v>
          </cell>
          <cell r="H519" t="str">
            <v>FRASCO-AMPOLA</v>
          </cell>
          <cell r="I519"/>
          <cell r="J519"/>
          <cell r="K519" t="str">
            <v>Conformidade</v>
          </cell>
          <cell r="L519">
            <v>3</v>
          </cell>
          <cell r="M519" t="str">
            <v>Tarja Vermelha</v>
          </cell>
          <cell r="N519" t="str">
            <v>Não</v>
          </cell>
          <cell r="O519" t="str">
            <v>Não</v>
          </cell>
          <cell r="P519" t="str">
            <v>Não</v>
          </cell>
          <cell r="Q519" t="str">
            <v>I</v>
          </cell>
          <cell r="R519"/>
          <cell r="S519" t="str">
            <v>Similar</v>
          </cell>
          <cell r="T519" t="str">
            <v>Monitorado</v>
          </cell>
          <cell r="U519"/>
          <cell r="V519" t="str">
            <v>12629-01-5</v>
          </cell>
          <cell r="W519"/>
          <cell r="X519"/>
          <cell r="Y519" t="str">
            <v>MG</v>
          </cell>
          <cell r="Z519">
            <v>8047</v>
          </cell>
          <cell r="AA519" t="str">
            <v>302 - HORMÔNIOS DO CRESCIMENTO</v>
          </cell>
          <cell r="AB519" t="str">
            <v>N</v>
          </cell>
          <cell r="AC519" t="str">
            <v>N</v>
          </cell>
          <cell r="AD519">
            <v>0</v>
          </cell>
          <cell r="AE519" t="str">
            <v>S</v>
          </cell>
          <cell r="AF519">
            <v>0</v>
          </cell>
          <cell r="AG519">
            <v>112.52</v>
          </cell>
          <cell r="AH519">
            <v>119.3</v>
          </cell>
          <cell r="AI519">
            <v>0</v>
          </cell>
          <cell r="AJ519">
            <v>120.75</v>
          </cell>
          <cell r="AK519">
            <v>122.24</v>
          </cell>
          <cell r="AL519">
            <v>0</v>
          </cell>
          <cell r="AM519">
            <v>119.3</v>
          </cell>
          <cell r="AN519">
            <v>0</v>
          </cell>
          <cell r="AO519">
            <v>155.55000000000001</v>
          </cell>
          <cell r="AP519">
            <v>164.93</v>
          </cell>
          <cell r="AQ519">
            <v>0</v>
          </cell>
          <cell r="AR519">
            <v>166.93</v>
          </cell>
          <cell r="AS519">
            <v>168.99</v>
          </cell>
          <cell r="AT519">
            <v>0</v>
          </cell>
          <cell r="AU519">
            <v>164.93</v>
          </cell>
          <cell r="AV519">
            <v>0</v>
          </cell>
          <cell r="AW519">
            <v>112.52</v>
          </cell>
          <cell r="AX519">
            <v>119.3</v>
          </cell>
          <cell r="AY519">
            <v>120.02</v>
          </cell>
          <cell r="AZ519">
            <v>120.75</v>
          </cell>
          <cell r="BA519">
            <v>122.24</v>
          </cell>
          <cell r="BB519">
            <v>122.24</v>
          </cell>
          <cell r="BC519">
            <v>119.3</v>
          </cell>
          <cell r="BD519">
            <v>0</v>
          </cell>
          <cell r="BE519">
            <v>155.55000000000001</v>
          </cell>
          <cell r="BF519">
            <v>164.93</v>
          </cell>
          <cell r="BG519">
            <v>165.92</v>
          </cell>
          <cell r="BH519">
            <v>166.93</v>
          </cell>
          <cell r="BI519">
            <v>168.99</v>
          </cell>
          <cell r="BJ519">
            <v>171.1</v>
          </cell>
          <cell r="BK519">
            <v>164.93</v>
          </cell>
        </row>
        <row r="520">
          <cell r="A520"/>
          <cell r="B520"/>
          <cell r="C520"/>
          <cell r="D520"/>
          <cell r="E520"/>
          <cell r="F520"/>
          <cell r="G520"/>
          <cell r="H520"/>
          <cell r="I520"/>
          <cell r="J520"/>
          <cell r="K520"/>
          <cell r="L520"/>
          <cell r="M520"/>
          <cell r="N520"/>
          <cell r="O520"/>
          <cell r="P520"/>
          <cell r="Q520"/>
          <cell r="R520"/>
          <cell r="S520"/>
          <cell r="T520"/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  <cell r="AM520"/>
          <cell r="AN520"/>
          <cell r="AO520"/>
          <cell r="AP520"/>
          <cell r="AQ520"/>
          <cell r="AR520"/>
          <cell r="AS520"/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/>
          <cell r="BG520"/>
          <cell r="BH520"/>
          <cell r="BI520"/>
          <cell r="BJ520"/>
          <cell r="BK520"/>
        </row>
        <row r="521">
          <cell r="A521"/>
          <cell r="B521"/>
          <cell r="C521"/>
          <cell r="D521"/>
          <cell r="E521"/>
          <cell r="F521"/>
          <cell r="G521"/>
          <cell r="H521"/>
          <cell r="I521"/>
          <cell r="J521"/>
          <cell r="K521"/>
          <cell r="L521"/>
          <cell r="M521"/>
          <cell r="N521"/>
          <cell r="O521"/>
          <cell r="P521"/>
          <cell r="Q521"/>
          <cell r="R521"/>
          <cell r="S521"/>
          <cell r="T521"/>
          <cell r="U521"/>
          <cell r="V521"/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  <cell r="AM521"/>
          <cell r="AN521"/>
          <cell r="AO521"/>
          <cell r="AP521"/>
          <cell r="AQ521"/>
          <cell r="AR521"/>
          <cell r="AS521"/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/>
          <cell r="BG521"/>
          <cell r="BH521"/>
          <cell r="BI521"/>
          <cell r="BJ521"/>
          <cell r="BK521"/>
        </row>
        <row r="522">
          <cell r="A522">
            <v>7891721026263</v>
          </cell>
          <cell r="B522">
            <v>1008903500044</v>
          </cell>
          <cell r="C522">
            <v>525414030044703</v>
          </cell>
          <cell r="D522" t="str">
            <v>SAIZEN</v>
          </cell>
          <cell r="E522" t="str">
            <v>5,83 MG/ML SOL INJ FR AMP VD INC X 1,03 ML </v>
          </cell>
          <cell r="F522" t="str">
            <v>Solução injetável</v>
          </cell>
          <cell r="G522">
            <v>1</v>
          </cell>
          <cell r="H522" t="str">
            <v>FRASCO-AMPOLA</v>
          </cell>
          <cell r="I522">
            <v>1.03</v>
          </cell>
          <cell r="J522" t="str">
            <v>ML</v>
          </cell>
          <cell r="K522" t="str">
            <v>Conformidade</v>
          </cell>
          <cell r="L522">
            <v>3</v>
          </cell>
          <cell r="M522" t="str">
            <v>Tarja Vermelha</v>
          </cell>
          <cell r="N522" t="str">
            <v>Não</v>
          </cell>
          <cell r="O522" t="str">
            <v>Não</v>
          </cell>
          <cell r="P522" t="str">
            <v>Não</v>
          </cell>
          <cell r="Q522" t="str">
            <v>I</v>
          </cell>
          <cell r="R522"/>
          <cell r="S522" t="str">
            <v>Similar</v>
          </cell>
          <cell r="T522" t="str">
            <v>Monitorado</v>
          </cell>
          <cell r="U522"/>
          <cell r="V522" t="str">
            <v>12629-01-5</v>
          </cell>
          <cell r="W522"/>
          <cell r="X522"/>
          <cell r="Y522" t="str">
            <v>MG/ML</v>
          </cell>
          <cell r="Z522">
            <v>8047</v>
          </cell>
          <cell r="AA522" t="str">
            <v>302 - HORMÔNIOS DO CRESCIMENTO</v>
          </cell>
          <cell r="AB522" t="str">
            <v>N</v>
          </cell>
          <cell r="AC522" t="str">
            <v>N</v>
          </cell>
          <cell r="AD522"/>
          <cell r="AE522" t="str">
            <v>S</v>
          </cell>
          <cell r="AF522">
            <v>0</v>
          </cell>
          <cell r="AG522">
            <v>502.58</v>
          </cell>
          <cell r="AH522">
            <v>532.85</v>
          </cell>
          <cell r="AI522">
            <v>0</v>
          </cell>
          <cell r="AJ522">
            <v>539.35</v>
          </cell>
          <cell r="AK522">
            <v>546.01</v>
          </cell>
          <cell r="AL522">
            <v>0</v>
          </cell>
          <cell r="AM522">
            <v>532.85</v>
          </cell>
          <cell r="AN522">
            <v>0</v>
          </cell>
          <cell r="AO522">
            <v>694.79</v>
          </cell>
          <cell r="AP522">
            <v>736.63</v>
          </cell>
          <cell r="AQ522">
            <v>0</v>
          </cell>
          <cell r="AR522">
            <v>745.62</v>
          </cell>
          <cell r="AS522">
            <v>754.83</v>
          </cell>
          <cell r="AT522">
            <v>0</v>
          </cell>
          <cell r="AU522">
            <v>736.63</v>
          </cell>
          <cell r="AV522">
            <v>0</v>
          </cell>
          <cell r="AW522">
            <v>502.58</v>
          </cell>
          <cell r="AX522">
            <v>532.85</v>
          </cell>
          <cell r="AY522">
            <v>536.08000000000004</v>
          </cell>
          <cell r="AZ522">
            <v>539.35</v>
          </cell>
          <cell r="BA522">
            <v>546.01</v>
          </cell>
          <cell r="BB522">
            <v>546.01</v>
          </cell>
          <cell r="BC522">
            <v>532.85</v>
          </cell>
          <cell r="BD522">
            <v>0</v>
          </cell>
          <cell r="BE522">
            <v>694.79</v>
          </cell>
          <cell r="BF522">
            <v>736.63</v>
          </cell>
          <cell r="BG522">
            <v>741.1</v>
          </cell>
          <cell r="BH522">
            <v>745.62</v>
          </cell>
          <cell r="BI522">
            <v>754.83</v>
          </cell>
          <cell r="BJ522">
            <v>764.26</v>
          </cell>
          <cell r="BK522">
            <v>736.63</v>
          </cell>
        </row>
        <row r="523">
          <cell r="A523"/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  <cell r="AQ523"/>
          <cell r="AR523"/>
          <cell r="AS523"/>
          <cell r="AT523"/>
          <cell r="AU523"/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/>
          <cell r="BG523"/>
          <cell r="BH523"/>
          <cell r="BI523"/>
          <cell r="BJ523"/>
          <cell r="BK523"/>
        </row>
        <row r="524">
          <cell r="A524"/>
          <cell r="B524"/>
          <cell r="C524"/>
          <cell r="D524"/>
          <cell r="E524"/>
          <cell r="F524"/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  <cell r="AQ524"/>
          <cell r="AR524"/>
          <cell r="AS524"/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/>
          <cell r="BG524"/>
          <cell r="BH524"/>
          <cell r="BI524"/>
          <cell r="BJ524"/>
          <cell r="BK524"/>
        </row>
        <row r="525">
          <cell r="A525">
            <v>7891721022470</v>
          </cell>
          <cell r="B525">
            <v>1008903500028</v>
          </cell>
          <cell r="C525">
            <v>525420502154319</v>
          </cell>
          <cell r="D525" t="str">
            <v>SAIZEN</v>
          </cell>
          <cell r="E525" t="str">
            <v>8 MG PO LIOF INJ CT 1 FA VD INC + 1 FA VD INC DIL X 1 ML </v>
          </cell>
          <cell r="F525" t="str">
            <v>PÓ LIOFILIZADO INJETÁVEL</v>
          </cell>
          <cell r="G525">
            <v>1</v>
          </cell>
          <cell r="H525" t="str">
            <v>FRASCO-AMPOLA</v>
          </cell>
          <cell r="I525"/>
          <cell r="J525"/>
          <cell r="K525" t="str">
            <v>Conformidade</v>
          </cell>
          <cell r="L525">
            <v>3</v>
          </cell>
          <cell r="M525" t="str">
            <v>Tarja Vermelha</v>
          </cell>
          <cell r="N525" t="str">
            <v>Não</v>
          </cell>
          <cell r="O525" t="str">
            <v>Não</v>
          </cell>
          <cell r="P525" t="str">
            <v>Não</v>
          </cell>
          <cell r="Q525" t="str">
            <v>I</v>
          </cell>
          <cell r="R525"/>
          <cell r="S525" t="str">
            <v>Similar</v>
          </cell>
          <cell r="T525" t="str">
            <v>Monitorado</v>
          </cell>
          <cell r="U525"/>
          <cell r="V525" t="str">
            <v>12629-01-5</v>
          </cell>
          <cell r="W525"/>
          <cell r="X525"/>
          <cell r="Y525" t="str">
            <v>MG</v>
          </cell>
          <cell r="Z525">
            <v>8047</v>
          </cell>
          <cell r="AA525" t="str">
            <v>302 - HORMÔNIOS DO CRESCIMENTO</v>
          </cell>
          <cell r="AB525" t="str">
            <v>N</v>
          </cell>
          <cell r="AC525" t="str">
            <v>N</v>
          </cell>
          <cell r="AD525">
            <v>0</v>
          </cell>
          <cell r="AE525" t="str">
            <v>N</v>
          </cell>
          <cell r="AF525">
            <v>0</v>
          </cell>
          <cell r="AG525">
            <v>663.41</v>
          </cell>
          <cell r="AH525">
            <v>703.37</v>
          </cell>
          <cell r="AI525">
            <v>0</v>
          </cell>
          <cell r="AJ525">
            <v>711.95</v>
          </cell>
          <cell r="AK525">
            <v>720.74</v>
          </cell>
          <cell r="AL525">
            <v>0</v>
          </cell>
          <cell r="AM525">
            <v>703.37</v>
          </cell>
          <cell r="AN525">
            <v>0</v>
          </cell>
          <cell r="AO525">
            <v>917.13</v>
          </cell>
          <cell r="AP525">
            <v>972.37</v>
          </cell>
          <cell r="AQ525">
            <v>0</v>
          </cell>
          <cell r="AR525">
            <v>984.23</v>
          </cell>
          <cell r="AS525">
            <v>996.38</v>
          </cell>
          <cell r="AT525">
            <v>0</v>
          </cell>
          <cell r="AU525">
            <v>972.37</v>
          </cell>
          <cell r="AV525">
            <v>0</v>
          </cell>
          <cell r="AW525">
            <v>663.41</v>
          </cell>
          <cell r="AX525">
            <v>703.37</v>
          </cell>
          <cell r="AY525">
            <v>707.63</v>
          </cell>
          <cell r="AZ525">
            <v>711.95</v>
          </cell>
          <cell r="BA525">
            <v>720.74</v>
          </cell>
          <cell r="BB525">
            <v>720.74</v>
          </cell>
          <cell r="BC525">
            <v>703.37</v>
          </cell>
          <cell r="BD525">
            <v>0</v>
          </cell>
          <cell r="BE525">
            <v>917.13</v>
          </cell>
          <cell r="BF525">
            <v>972.37</v>
          </cell>
          <cell r="BG525">
            <v>978.26</v>
          </cell>
          <cell r="BH525">
            <v>984.23</v>
          </cell>
          <cell r="BI525">
            <v>996.38</v>
          </cell>
          <cell r="BJ525">
            <v>1008.84</v>
          </cell>
          <cell r="BK525">
            <v>972.37</v>
          </cell>
        </row>
        <row r="526">
          <cell r="A526"/>
          <cell r="B526"/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  <cell r="O526"/>
          <cell r="P526"/>
          <cell r="Q526"/>
          <cell r="R526"/>
          <cell r="S526"/>
          <cell r="T526"/>
          <cell r="U526"/>
          <cell r="V526"/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  <cell r="AM526"/>
          <cell r="AN526"/>
          <cell r="AO526"/>
          <cell r="AP526"/>
          <cell r="AQ526"/>
          <cell r="AR526"/>
          <cell r="AS526"/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/>
          <cell r="BG526"/>
          <cell r="BH526"/>
          <cell r="BI526"/>
          <cell r="BJ526"/>
          <cell r="BK526"/>
        </row>
        <row r="527">
          <cell r="A527"/>
          <cell r="B527"/>
          <cell r="C527"/>
          <cell r="D527"/>
          <cell r="E527"/>
          <cell r="F527"/>
          <cell r="G527"/>
          <cell r="H527"/>
          <cell r="I527"/>
          <cell r="J527"/>
          <cell r="K527"/>
          <cell r="L527"/>
          <cell r="M527"/>
          <cell r="N527"/>
          <cell r="O527"/>
          <cell r="P527"/>
          <cell r="Q527"/>
          <cell r="R527"/>
          <cell r="S527"/>
          <cell r="T527"/>
          <cell r="U527"/>
          <cell r="V527"/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  <cell r="AM527"/>
          <cell r="AN527"/>
          <cell r="AO527"/>
          <cell r="AP527"/>
          <cell r="AQ527"/>
          <cell r="AR527"/>
          <cell r="AS527"/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/>
          <cell r="BG527"/>
          <cell r="BH527"/>
          <cell r="BI527"/>
          <cell r="BJ527"/>
          <cell r="BK527"/>
        </row>
        <row r="528">
          <cell r="A528">
            <v>7891721026270</v>
          </cell>
          <cell r="B528">
            <v>1008903500052</v>
          </cell>
          <cell r="C528">
            <v>525414030044803</v>
          </cell>
          <cell r="D528" t="str">
            <v>SAIZEN</v>
          </cell>
          <cell r="E528" t="str">
            <v>8 MG/ML SOL INJ FR AMP VD INC X 1,5 ML </v>
          </cell>
          <cell r="F528" t="str">
            <v>Solução injetável</v>
          </cell>
          <cell r="G528">
            <v>1</v>
          </cell>
          <cell r="H528" t="str">
            <v>FRASCO-AMPOLA</v>
          </cell>
          <cell r="I528">
            <v>1.5</v>
          </cell>
          <cell r="J528" t="str">
            <v>ML</v>
          </cell>
          <cell r="K528" t="str">
            <v>Conformidade</v>
          </cell>
          <cell r="L528">
            <v>3</v>
          </cell>
          <cell r="M528" t="str">
            <v>Tarja Vermelha</v>
          </cell>
          <cell r="N528" t="str">
            <v>Não</v>
          </cell>
          <cell r="O528" t="str">
            <v>Não</v>
          </cell>
          <cell r="P528" t="str">
            <v>Não</v>
          </cell>
          <cell r="Q528" t="str">
            <v>I</v>
          </cell>
          <cell r="R528"/>
          <cell r="S528" t="str">
            <v>Similar</v>
          </cell>
          <cell r="T528" t="str">
            <v>Monitorado</v>
          </cell>
          <cell r="U528"/>
          <cell r="V528" t="str">
            <v>12629-01-5</v>
          </cell>
          <cell r="W528"/>
          <cell r="X528"/>
          <cell r="Y528" t="str">
            <v>MG/ML</v>
          </cell>
          <cell r="Z528">
            <v>8047</v>
          </cell>
          <cell r="AA528" t="str">
            <v>302 - HORMÔNIOS DO CRESCIMENTO</v>
          </cell>
          <cell r="AB528" t="str">
            <v>N</v>
          </cell>
          <cell r="AC528" t="str">
            <v>N</v>
          </cell>
          <cell r="AD528"/>
          <cell r="AE528" t="str">
            <v>S</v>
          </cell>
          <cell r="AF528">
            <v>0</v>
          </cell>
          <cell r="AG528">
            <v>1005.15</v>
          </cell>
          <cell r="AH528">
            <v>1065.7</v>
          </cell>
          <cell r="AI528">
            <v>0</v>
          </cell>
          <cell r="AJ528">
            <v>1078.7</v>
          </cell>
          <cell r="AK528">
            <v>1092.02</v>
          </cell>
          <cell r="AL528">
            <v>0</v>
          </cell>
          <cell r="AM528">
            <v>1065.7</v>
          </cell>
          <cell r="AN528">
            <v>0</v>
          </cell>
          <cell r="AO528">
            <v>1389.56</v>
          </cell>
          <cell r="AP528">
            <v>1473.27</v>
          </cell>
          <cell r="AQ528">
            <v>0</v>
          </cell>
          <cell r="AR528">
            <v>1491.24</v>
          </cell>
          <cell r="AS528">
            <v>1509.65</v>
          </cell>
          <cell r="AT528">
            <v>0</v>
          </cell>
          <cell r="AU528">
            <v>1473.27</v>
          </cell>
          <cell r="AV528">
            <v>0</v>
          </cell>
          <cell r="AW528">
            <v>1005.15</v>
          </cell>
          <cell r="AX528">
            <v>1065.7</v>
          </cell>
          <cell r="AY528">
            <v>1072.1600000000001</v>
          </cell>
          <cell r="AZ528">
            <v>1078.7</v>
          </cell>
          <cell r="BA528">
            <v>1092.02</v>
          </cell>
          <cell r="BB528">
            <v>1092.02</v>
          </cell>
          <cell r="BC528">
            <v>1065.7</v>
          </cell>
          <cell r="BD528">
            <v>0</v>
          </cell>
          <cell r="BE528">
            <v>1389.56</v>
          </cell>
          <cell r="BF528">
            <v>1473.27</v>
          </cell>
          <cell r="BG528">
            <v>1482.2</v>
          </cell>
          <cell r="BH528">
            <v>1491.24</v>
          </cell>
          <cell r="BI528">
            <v>1509.65</v>
          </cell>
          <cell r="BJ528">
            <v>1528.52</v>
          </cell>
          <cell r="BK528">
            <v>1473.27</v>
          </cell>
        </row>
        <row r="529">
          <cell r="A529"/>
          <cell r="B529"/>
          <cell r="C529"/>
          <cell r="D529"/>
          <cell r="E529"/>
          <cell r="F529"/>
          <cell r="G529"/>
          <cell r="H529"/>
          <cell r="I529"/>
          <cell r="J529"/>
          <cell r="K529"/>
          <cell r="L529"/>
          <cell r="M529"/>
          <cell r="N529"/>
          <cell r="O529"/>
          <cell r="P529"/>
          <cell r="Q529"/>
          <cell r="R529"/>
          <cell r="S529"/>
          <cell r="T529"/>
          <cell r="U529"/>
          <cell r="V529"/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  <cell r="AM529"/>
          <cell r="AN529"/>
          <cell r="AO529"/>
          <cell r="AP529"/>
          <cell r="AQ529"/>
          <cell r="AR529"/>
          <cell r="AS529"/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/>
          <cell r="BG529"/>
          <cell r="BH529"/>
          <cell r="BI529"/>
          <cell r="BJ529"/>
          <cell r="BK529"/>
        </row>
        <row r="530">
          <cell r="A530"/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  <cell r="AQ530"/>
          <cell r="AR530"/>
          <cell r="AS530"/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/>
          <cell r="BG530"/>
          <cell r="BH530"/>
          <cell r="BI530"/>
          <cell r="BJ530"/>
          <cell r="BK530"/>
        </row>
        <row r="531">
          <cell r="A531">
            <v>7891721026287</v>
          </cell>
          <cell r="B531">
            <v>1008903500060</v>
          </cell>
          <cell r="C531">
            <v>525414030044903</v>
          </cell>
          <cell r="D531" t="str">
            <v>SAIZEN</v>
          </cell>
          <cell r="E531" t="str">
            <v>8 MG/ML SOL INJ FR AMP VD INC X 2,5 ML</v>
          </cell>
          <cell r="F531" t="str">
            <v>Solução injetável</v>
          </cell>
          <cell r="G531">
            <v>1</v>
          </cell>
          <cell r="H531" t="str">
            <v>FRASCO-AMPOLA</v>
          </cell>
          <cell r="I531">
            <v>2.5</v>
          </cell>
          <cell r="J531" t="str">
            <v>ML</v>
          </cell>
          <cell r="K531" t="str">
            <v>Conformidade</v>
          </cell>
          <cell r="L531">
            <v>3</v>
          </cell>
          <cell r="M531" t="str">
            <v>Tarja Vermelha</v>
          </cell>
          <cell r="N531" t="str">
            <v>Não</v>
          </cell>
          <cell r="O531" t="str">
            <v>Não</v>
          </cell>
          <cell r="P531" t="str">
            <v>Não</v>
          </cell>
          <cell r="Q531" t="str">
            <v>I</v>
          </cell>
          <cell r="R531"/>
          <cell r="S531" t="str">
            <v>Similar</v>
          </cell>
          <cell r="T531" t="str">
            <v>Monitorado</v>
          </cell>
          <cell r="U531"/>
          <cell r="V531" t="str">
            <v>12629-01-5</v>
          </cell>
          <cell r="W531"/>
          <cell r="X531"/>
          <cell r="Y531" t="str">
            <v>MG/ML</v>
          </cell>
          <cell r="Z531">
            <v>8047</v>
          </cell>
          <cell r="AA531" t="str">
            <v>302 - HORMÔNIOS DO CRESCIMENTO</v>
          </cell>
          <cell r="AB531" t="str">
            <v>N</v>
          </cell>
          <cell r="AC531" t="str">
            <v>N</v>
          </cell>
          <cell r="AD531"/>
          <cell r="AE531" t="str">
            <v>S</v>
          </cell>
          <cell r="AF531">
            <v>0</v>
          </cell>
          <cell r="AG531">
            <v>1675.25</v>
          </cell>
          <cell r="AH531">
            <v>1776.17</v>
          </cell>
          <cell r="AI531">
            <v>0</v>
          </cell>
          <cell r="AJ531">
            <v>1797.83</v>
          </cell>
          <cell r="AK531">
            <v>1820.03</v>
          </cell>
          <cell r="AL531">
            <v>0</v>
          </cell>
          <cell r="AM531">
            <v>1776.17</v>
          </cell>
          <cell r="AN531">
            <v>0</v>
          </cell>
          <cell r="AO531">
            <v>2315.9299999999998</v>
          </cell>
          <cell r="AP531">
            <v>2455.4499999999998</v>
          </cell>
          <cell r="AQ531">
            <v>0</v>
          </cell>
          <cell r="AR531">
            <v>2485.39</v>
          </cell>
          <cell r="AS531">
            <v>2516.08</v>
          </cell>
          <cell r="AT531">
            <v>0</v>
          </cell>
          <cell r="AU531">
            <v>2455.4499999999998</v>
          </cell>
          <cell r="AV531">
            <v>0</v>
          </cell>
          <cell r="AW531">
            <v>1675.25</v>
          </cell>
          <cell r="AX531">
            <v>1776.17</v>
          </cell>
          <cell r="AY531">
            <v>1786.93</v>
          </cell>
          <cell r="AZ531">
            <v>1797.83</v>
          </cell>
          <cell r="BA531">
            <v>1820.03</v>
          </cell>
          <cell r="BB531">
            <v>1820.03</v>
          </cell>
          <cell r="BC531">
            <v>1776.17</v>
          </cell>
          <cell r="BD531">
            <v>0</v>
          </cell>
          <cell r="BE531">
            <v>2315.9299999999998</v>
          </cell>
          <cell r="BF531">
            <v>2455.4499999999998</v>
          </cell>
          <cell r="BG531">
            <v>2470.33</v>
          </cell>
          <cell r="BH531">
            <v>2485.39</v>
          </cell>
          <cell r="BI531">
            <v>2516.08</v>
          </cell>
          <cell r="BJ531">
            <v>2547.54</v>
          </cell>
          <cell r="BK531">
            <v>2455.4499999999998</v>
          </cell>
        </row>
        <row r="532">
          <cell r="A532"/>
          <cell r="B532"/>
          <cell r="C532"/>
          <cell r="D532"/>
          <cell r="E532"/>
          <cell r="F532"/>
          <cell r="G532"/>
          <cell r="H532"/>
          <cell r="I532"/>
          <cell r="J532"/>
          <cell r="K532"/>
          <cell r="L532"/>
          <cell r="M532"/>
          <cell r="N532"/>
          <cell r="O532"/>
          <cell r="P532"/>
          <cell r="Q532"/>
          <cell r="R532"/>
          <cell r="S532"/>
          <cell r="T532"/>
          <cell r="U532"/>
          <cell r="V532"/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  <cell r="AM532"/>
          <cell r="AN532"/>
          <cell r="AO532"/>
          <cell r="AP532"/>
          <cell r="AQ532"/>
          <cell r="AR532"/>
          <cell r="AS532"/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/>
          <cell r="BG532"/>
          <cell r="BH532"/>
          <cell r="BI532"/>
          <cell r="BJ532"/>
          <cell r="BK532"/>
        </row>
        <row r="533">
          <cell r="A533"/>
          <cell r="B533"/>
          <cell r="C533"/>
          <cell r="D533"/>
          <cell r="E533"/>
          <cell r="F533"/>
          <cell r="G533"/>
          <cell r="H533"/>
          <cell r="I533"/>
          <cell r="J533"/>
          <cell r="K533"/>
          <cell r="L533"/>
          <cell r="M533"/>
          <cell r="N533"/>
          <cell r="O533"/>
          <cell r="P533"/>
          <cell r="Q533"/>
          <cell r="R533"/>
          <cell r="S533"/>
          <cell r="T533"/>
          <cell r="U533"/>
          <cell r="V533"/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  <cell r="AM533"/>
          <cell r="AN533"/>
          <cell r="AO533"/>
          <cell r="AP533"/>
          <cell r="AQ533"/>
          <cell r="AR533"/>
          <cell r="AS533"/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/>
          <cell r="BG533"/>
          <cell r="BH533"/>
          <cell r="BI533"/>
          <cell r="BJ533"/>
          <cell r="BK533"/>
        </row>
        <row r="534">
          <cell r="A534">
            <v>7891721022449</v>
          </cell>
          <cell r="B534">
            <v>1008903520010</v>
          </cell>
          <cell r="C534">
            <v>525420702110412</v>
          </cell>
          <cell r="D534" t="str">
            <v>SEROPHENE</v>
          </cell>
          <cell r="E534" t="str">
            <v>50 MG COM CT BL AL PLAS INC X 10</v>
          </cell>
          <cell r="F534" t="str">
            <v>Comprimido</v>
          </cell>
          <cell r="G534"/>
          <cell r="H534"/>
          <cell r="I534">
            <v>10</v>
          </cell>
          <cell r="J534"/>
          <cell r="K534" t="str">
            <v>Conformidade</v>
          </cell>
          <cell r="L534">
            <v>3</v>
          </cell>
          <cell r="M534" t="str">
            <v>Tarja Vermelha</v>
          </cell>
          <cell r="N534" t="str">
            <v>Não</v>
          </cell>
          <cell r="O534" t="str">
            <v>Não</v>
          </cell>
          <cell r="P534" t="str">
            <v>Não</v>
          </cell>
          <cell r="Q534" t="str">
            <v>I</v>
          </cell>
          <cell r="R534"/>
          <cell r="S534" t="str">
            <v>Similar</v>
          </cell>
          <cell r="T534" t="str">
            <v>Monitorado</v>
          </cell>
          <cell r="U534"/>
          <cell r="V534" t="str">
            <v>50-41-9</v>
          </cell>
          <cell r="W534"/>
          <cell r="X534"/>
          <cell r="Y534" t="str">
            <v>MG</v>
          </cell>
          <cell r="Z534">
            <v>2293</v>
          </cell>
          <cell r="AA534" t="str">
            <v>270 - GONADOTROFINAS INCLUINDO OUTROS ESTIMULANTES PARA OVULAÇÃO</v>
          </cell>
          <cell r="AB534" t="str">
            <v>N</v>
          </cell>
          <cell r="AC534" t="str">
            <v>N</v>
          </cell>
          <cell r="AD534">
            <v>0</v>
          </cell>
          <cell r="AE534" t="str">
            <v>N</v>
          </cell>
          <cell r="AF534">
            <v>0</v>
          </cell>
          <cell r="AG534">
            <v>34.99</v>
          </cell>
          <cell r="AH534">
            <v>37.1</v>
          </cell>
          <cell r="AI534">
            <v>0</v>
          </cell>
          <cell r="AJ534">
            <v>37.549999999999997</v>
          </cell>
          <cell r="AK534">
            <v>38.020000000000003</v>
          </cell>
          <cell r="AL534">
            <v>0</v>
          </cell>
          <cell r="AM534">
            <v>37.1</v>
          </cell>
          <cell r="AN534">
            <v>0</v>
          </cell>
          <cell r="AO534">
            <v>48.37</v>
          </cell>
          <cell r="AP534">
            <v>51.29</v>
          </cell>
          <cell r="AQ534">
            <v>0</v>
          </cell>
          <cell r="AR534">
            <v>51.91</v>
          </cell>
          <cell r="AS534">
            <v>52.56</v>
          </cell>
          <cell r="AT534">
            <v>0</v>
          </cell>
          <cell r="AU534">
            <v>51.29</v>
          </cell>
          <cell r="AV534">
            <v>0</v>
          </cell>
          <cell r="AW534">
            <v>35.46</v>
          </cell>
          <cell r="AX534">
            <v>37.6</v>
          </cell>
          <cell r="AY534">
            <v>37.83</v>
          </cell>
          <cell r="AZ534">
            <v>38.06</v>
          </cell>
          <cell r="BA534">
            <v>38.53</v>
          </cell>
          <cell r="BB534">
            <v>38.53</v>
          </cell>
          <cell r="BC534">
            <v>37.6</v>
          </cell>
          <cell r="BD534">
            <v>0</v>
          </cell>
          <cell r="BE534">
            <v>49.02</v>
          </cell>
          <cell r="BF534">
            <v>51.98</v>
          </cell>
          <cell r="BG534">
            <v>52.3</v>
          </cell>
          <cell r="BH534">
            <v>52.62</v>
          </cell>
          <cell r="BI534">
            <v>53.27</v>
          </cell>
          <cell r="BJ534">
            <v>53.93</v>
          </cell>
          <cell r="BK534">
            <v>51.98</v>
          </cell>
        </row>
        <row r="535">
          <cell r="A535"/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  <cell r="AQ535"/>
          <cell r="AR535"/>
          <cell r="AS535"/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/>
          <cell r="BG535"/>
          <cell r="BH535"/>
          <cell r="BI535"/>
          <cell r="BJ535"/>
          <cell r="BK535"/>
        </row>
        <row r="536">
          <cell r="A536">
            <v>7891721022456</v>
          </cell>
          <cell r="B536">
            <v>1008903520029</v>
          </cell>
          <cell r="C536">
            <v>525420701114414</v>
          </cell>
          <cell r="D536" t="str">
            <v>SEROPHENE</v>
          </cell>
          <cell r="E536" t="str">
            <v>50 MG COM CT BL AL PLAS INC X 30</v>
          </cell>
          <cell r="F536" t="str">
            <v>Comprimido</v>
          </cell>
          <cell r="G536"/>
          <cell r="H536"/>
          <cell r="I536">
            <v>30</v>
          </cell>
          <cell r="J536"/>
          <cell r="K536" t="str">
            <v>Conformidade</v>
          </cell>
          <cell r="L536">
            <v>3</v>
          </cell>
          <cell r="M536" t="str">
            <v>Tarja Vermelha</v>
          </cell>
          <cell r="N536" t="str">
            <v>Não</v>
          </cell>
          <cell r="O536" t="str">
            <v>Não</v>
          </cell>
          <cell r="P536" t="str">
            <v>Não</v>
          </cell>
          <cell r="Q536" t="str">
            <v>I</v>
          </cell>
          <cell r="R536"/>
          <cell r="S536" t="str">
            <v>Similar</v>
          </cell>
          <cell r="T536" t="str">
            <v>Monitorado</v>
          </cell>
          <cell r="U536"/>
          <cell r="V536" t="str">
            <v>50-41-9</v>
          </cell>
          <cell r="W536"/>
          <cell r="X536"/>
          <cell r="Y536" t="str">
            <v>MG</v>
          </cell>
          <cell r="Z536">
            <v>2293</v>
          </cell>
          <cell r="AA536" t="str">
            <v>270 - GONADOTROFINAS INCLUINDO OUTROS ESTIMULANTES PARA OVULAÇÃO</v>
          </cell>
          <cell r="AB536" t="str">
            <v>N</v>
          </cell>
          <cell r="AC536" t="str">
            <v>N</v>
          </cell>
          <cell r="AD536">
            <v>0</v>
          </cell>
          <cell r="AE536" t="str">
            <v>N</v>
          </cell>
          <cell r="AF536">
            <v>0</v>
          </cell>
          <cell r="AG536">
            <v>92.67</v>
          </cell>
          <cell r="AH536">
            <v>98.25</v>
          </cell>
          <cell r="AI536">
            <v>0</v>
          </cell>
          <cell r="AJ536">
            <v>99.45</v>
          </cell>
          <cell r="AK536">
            <v>100.68</v>
          </cell>
          <cell r="AL536">
            <v>0</v>
          </cell>
          <cell r="AM536">
            <v>98.25</v>
          </cell>
          <cell r="AN536">
            <v>0</v>
          </cell>
          <cell r="AO536">
            <v>128.11000000000001</v>
          </cell>
          <cell r="AP536">
            <v>135.82</v>
          </cell>
          <cell r="AQ536">
            <v>0</v>
          </cell>
          <cell r="AR536">
            <v>137.47999999999999</v>
          </cell>
          <cell r="AS536">
            <v>139.18</v>
          </cell>
          <cell r="AT536">
            <v>0</v>
          </cell>
          <cell r="AU536">
            <v>135.82</v>
          </cell>
          <cell r="AV536">
            <v>0</v>
          </cell>
          <cell r="AW536">
            <v>93.93</v>
          </cell>
          <cell r="AX536">
            <v>99.59</v>
          </cell>
          <cell r="AY536">
            <v>100.19</v>
          </cell>
          <cell r="AZ536">
            <v>100.8</v>
          </cell>
          <cell r="BA536">
            <v>102.05</v>
          </cell>
          <cell r="BB536">
            <v>102.05</v>
          </cell>
          <cell r="BC536">
            <v>99.59</v>
          </cell>
          <cell r="BD536">
            <v>0</v>
          </cell>
          <cell r="BE536">
            <v>129.85</v>
          </cell>
          <cell r="BF536">
            <v>137.68</v>
          </cell>
          <cell r="BG536">
            <v>138.51</v>
          </cell>
          <cell r="BH536">
            <v>139.35</v>
          </cell>
          <cell r="BI536">
            <v>141.08000000000001</v>
          </cell>
          <cell r="BJ536">
            <v>142.83000000000001</v>
          </cell>
          <cell r="BK536">
            <v>137.68</v>
          </cell>
        </row>
        <row r="537">
          <cell r="A537"/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  <cell r="AQ537"/>
          <cell r="AR537"/>
          <cell r="AS537"/>
          <cell r="AT537"/>
          <cell r="AU537"/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/>
          <cell r="BG537"/>
          <cell r="BH537"/>
          <cell r="BI537"/>
          <cell r="BJ537"/>
          <cell r="BK537"/>
        </row>
        <row r="538">
          <cell r="A538"/>
          <cell r="B538"/>
          <cell r="C538"/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/>
          <cell r="V538"/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  <cell r="AM538"/>
          <cell r="AN538"/>
          <cell r="AO538"/>
          <cell r="AP538"/>
          <cell r="AQ538"/>
          <cell r="AR538"/>
          <cell r="AS538"/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/>
          <cell r="BG538"/>
          <cell r="BH538"/>
          <cell r="BI538"/>
          <cell r="BJ538"/>
          <cell r="BK538"/>
        </row>
        <row r="539">
          <cell r="A539">
            <v>7891721238260</v>
          </cell>
          <cell r="B539">
            <v>1008903130018</v>
          </cell>
          <cell r="C539">
            <v>525417101136115</v>
          </cell>
          <cell r="D539" t="str">
            <v>SIMETICONA</v>
          </cell>
          <cell r="E539" t="str">
            <v>75 MG/ML EMU OR CT FR PLAS OPC GOT X 15 ML</v>
          </cell>
          <cell r="F539" t="str">
            <v>EMULSÃO ORAL</v>
          </cell>
          <cell r="G539">
            <v>1</v>
          </cell>
          <cell r="H539" t="str">
            <v>FRASCO</v>
          </cell>
          <cell r="I539">
            <v>15</v>
          </cell>
          <cell r="J539" t="str">
            <v>ML</v>
          </cell>
          <cell r="K539" t="str">
            <v>Conformidade</v>
          </cell>
          <cell r="L539">
            <v>2</v>
          </cell>
          <cell r="M539" t="str">
            <v>Venda Livre</v>
          </cell>
          <cell r="N539" t="str">
            <v>Não</v>
          </cell>
          <cell r="O539" t="str">
            <v>Não</v>
          </cell>
          <cell r="P539" t="str">
            <v>Não</v>
          </cell>
          <cell r="Q539" t="str">
            <v>N</v>
          </cell>
          <cell r="R539"/>
          <cell r="S539" t="str">
            <v>Genérico</v>
          </cell>
          <cell r="T539" t="str">
            <v>Monitorado</v>
          </cell>
          <cell r="U539"/>
          <cell r="V539" t="str">
            <v>8050-81-5</v>
          </cell>
          <cell r="W539"/>
          <cell r="X539"/>
          <cell r="Y539" t="str">
            <v>MG/ML</v>
          </cell>
          <cell r="Z539">
            <v>8006</v>
          </cell>
          <cell r="AA539" t="str">
            <v>8 - Antiflatulentos Puros e Carminativos</v>
          </cell>
          <cell r="AB539" t="str">
            <v>N</v>
          </cell>
          <cell r="AC539" t="str">
            <v>N</v>
          </cell>
          <cell r="AD539">
            <v>0</v>
          </cell>
          <cell r="AE539" t="str">
            <v>N</v>
          </cell>
          <cell r="AF539">
            <v>0</v>
          </cell>
          <cell r="AG539">
            <v>9.1999999999999993</v>
          </cell>
          <cell r="AH539">
            <v>9.84</v>
          </cell>
          <cell r="AI539">
            <v>0</v>
          </cell>
          <cell r="AJ539">
            <v>9.98</v>
          </cell>
          <cell r="AK539">
            <v>10.119999999999999</v>
          </cell>
          <cell r="AL539">
            <v>0</v>
          </cell>
          <cell r="AM539">
            <v>8.5500000000000007</v>
          </cell>
          <cell r="AN539">
            <v>0</v>
          </cell>
          <cell r="AO539">
            <v>12.27</v>
          </cell>
          <cell r="AP539">
            <v>13.09</v>
          </cell>
          <cell r="AQ539">
            <v>0</v>
          </cell>
          <cell r="AR539">
            <v>13.27</v>
          </cell>
          <cell r="AS539">
            <v>13.46</v>
          </cell>
          <cell r="AT539">
            <v>0</v>
          </cell>
          <cell r="AU539">
            <v>11.82</v>
          </cell>
          <cell r="AV539">
            <v>0</v>
          </cell>
          <cell r="AW539">
            <v>9.1999999999999993</v>
          </cell>
          <cell r="AX539">
            <v>9.84</v>
          </cell>
          <cell r="AY539">
            <v>9.91</v>
          </cell>
          <cell r="AZ539">
            <v>9.98</v>
          </cell>
          <cell r="BA539">
            <v>10.119999999999999</v>
          </cell>
          <cell r="BB539">
            <v>10.119999999999999</v>
          </cell>
          <cell r="BC539">
            <v>8.57</v>
          </cell>
          <cell r="BD539">
            <v>0</v>
          </cell>
          <cell r="BE539">
            <v>12.29</v>
          </cell>
          <cell r="BF539">
            <v>13.12</v>
          </cell>
          <cell r="BG539">
            <v>13.21</v>
          </cell>
          <cell r="BH539">
            <v>13.3</v>
          </cell>
          <cell r="BI539">
            <v>13.48</v>
          </cell>
          <cell r="BJ539">
            <v>13.67</v>
          </cell>
          <cell r="BK539">
            <v>11.85</v>
          </cell>
        </row>
        <row r="540">
          <cell r="A540">
            <v>7891721028441</v>
          </cell>
          <cell r="B540">
            <v>1008903850029</v>
          </cell>
          <cell r="C540">
            <v>525415070046606</v>
          </cell>
          <cell r="D540" t="str">
            <v>SINVASTATINA</v>
          </cell>
          <cell r="E540" t="str">
            <v>10 MG COM REV CT BL AL PLAS INC X 30</v>
          </cell>
          <cell r="F540" t="str">
            <v>Comprimido revestido</v>
          </cell>
          <cell r="G540"/>
          <cell r="H540"/>
          <cell r="I540">
            <v>30</v>
          </cell>
          <cell r="J540"/>
          <cell r="K540" t="str">
            <v>Conformidade</v>
          </cell>
          <cell r="L540">
            <v>1</v>
          </cell>
          <cell r="M540" t="str">
            <v>Tarja Vermelha</v>
          </cell>
          <cell r="N540" t="str">
            <v>Não</v>
          </cell>
          <cell r="O540" t="str">
            <v>Não</v>
          </cell>
          <cell r="P540" t="str">
            <v>Sim</v>
          </cell>
          <cell r="Q540" t="str">
            <v>I</v>
          </cell>
          <cell r="R540"/>
          <cell r="S540" t="str">
            <v>Genérico</v>
          </cell>
          <cell r="T540" t="str">
            <v>Monitorado</v>
          </cell>
          <cell r="U540"/>
          <cell r="V540" t="str">
            <v>79902-63-9,</v>
          </cell>
          <cell r="W540"/>
          <cell r="X540"/>
          <cell r="Y540"/>
          <cell r="Z540">
            <v>8016</v>
          </cell>
          <cell r="AA540" t="str">
            <v>213 - ESTATINAS, INIBIDORES DA REDUTASE HMG-CoA</v>
          </cell>
          <cell r="AB540" t="str">
            <v>N</v>
          </cell>
          <cell r="AC540" t="str">
            <v>N</v>
          </cell>
          <cell r="AD540"/>
          <cell r="AE540" t="str">
            <v>N</v>
          </cell>
          <cell r="AF540">
            <v>0</v>
          </cell>
          <cell r="AG540">
            <v>9.5299999999999994</v>
          </cell>
          <cell r="AH540">
            <v>10.1</v>
          </cell>
          <cell r="AI540">
            <v>0</v>
          </cell>
          <cell r="AJ540">
            <v>10.23</v>
          </cell>
          <cell r="AK540">
            <v>10.35</v>
          </cell>
          <cell r="AL540">
            <v>0</v>
          </cell>
          <cell r="AM540">
            <v>10.1</v>
          </cell>
          <cell r="AN540">
            <v>0</v>
          </cell>
          <cell r="AO540">
            <v>13.17</v>
          </cell>
          <cell r="AP540">
            <v>13.96</v>
          </cell>
          <cell r="AQ540">
            <v>0</v>
          </cell>
          <cell r="AR540">
            <v>14.14</v>
          </cell>
          <cell r="AS540">
            <v>14.31</v>
          </cell>
          <cell r="AT540">
            <v>0</v>
          </cell>
          <cell r="AU540">
            <v>13.96</v>
          </cell>
          <cell r="AV540">
            <v>0</v>
          </cell>
          <cell r="AW540">
            <v>9.99</v>
          </cell>
          <cell r="AX540">
            <v>10.59</v>
          </cell>
          <cell r="AY540">
            <v>10.65</v>
          </cell>
          <cell r="AZ540">
            <v>10.72</v>
          </cell>
          <cell r="BA540">
            <v>10.85</v>
          </cell>
          <cell r="BB540">
            <v>10.85</v>
          </cell>
          <cell r="BC540">
            <v>10.59</v>
          </cell>
          <cell r="BD540">
            <v>0</v>
          </cell>
          <cell r="BE540">
            <v>13.81</v>
          </cell>
          <cell r="BF540">
            <v>14.64</v>
          </cell>
          <cell r="BG540">
            <v>14.72</v>
          </cell>
          <cell r="BH540">
            <v>14.81</v>
          </cell>
          <cell r="BI540">
            <v>15</v>
          </cell>
          <cell r="BJ540">
            <v>15.18</v>
          </cell>
          <cell r="BK540">
            <v>14.64</v>
          </cell>
        </row>
        <row r="541">
          <cell r="A541"/>
          <cell r="B541"/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  <cell r="O541"/>
          <cell r="P541"/>
          <cell r="Q541"/>
          <cell r="R541"/>
          <cell r="S541"/>
          <cell r="T541"/>
          <cell r="U541"/>
          <cell r="V541"/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  <cell r="AM541"/>
          <cell r="AN541"/>
          <cell r="AO541"/>
          <cell r="AP541"/>
          <cell r="AQ541"/>
          <cell r="AR541"/>
          <cell r="AS541"/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/>
          <cell r="BG541"/>
          <cell r="BH541"/>
          <cell r="BI541"/>
          <cell r="BJ541"/>
          <cell r="BK541"/>
        </row>
        <row r="542">
          <cell r="A542">
            <v>7891721028458</v>
          </cell>
          <cell r="B542">
            <v>1008903850053</v>
          </cell>
          <cell r="C542">
            <v>525415070046506</v>
          </cell>
          <cell r="D542" t="str">
            <v>SINVASTATINA</v>
          </cell>
          <cell r="E542" t="str">
            <v>20 MG COM REV CT BL AL PLAS INC X 30 </v>
          </cell>
          <cell r="F542" t="str">
            <v>Comprimido revestido</v>
          </cell>
          <cell r="G542"/>
          <cell r="H542"/>
          <cell r="I542">
            <v>30</v>
          </cell>
          <cell r="J542"/>
          <cell r="K542" t="str">
            <v>Conformidade</v>
          </cell>
          <cell r="L542">
            <v>1</v>
          </cell>
          <cell r="M542" t="str">
            <v>Tarja Vermelha</v>
          </cell>
          <cell r="N542" t="str">
            <v>Não</v>
          </cell>
          <cell r="O542" t="str">
            <v>Não</v>
          </cell>
          <cell r="P542" t="str">
            <v>Sim</v>
          </cell>
          <cell r="Q542" t="str">
            <v>I</v>
          </cell>
          <cell r="R542"/>
          <cell r="S542" t="str">
            <v>Genérico</v>
          </cell>
          <cell r="T542" t="str">
            <v>Monitorado</v>
          </cell>
          <cell r="U542"/>
          <cell r="V542" t="str">
            <v>79902-63-9</v>
          </cell>
          <cell r="W542"/>
          <cell r="X542"/>
          <cell r="Y542"/>
          <cell r="Z542">
            <v>8016</v>
          </cell>
          <cell r="AA542" t="str">
            <v>213 - ESTATINAS, INIBIDORES DA REDUTASE HMG-CoA</v>
          </cell>
          <cell r="AB542" t="str">
            <v>N</v>
          </cell>
          <cell r="AC542" t="str">
            <v>N</v>
          </cell>
          <cell r="AD542"/>
          <cell r="AE542" t="str">
            <v>N</v>
          </cell>
          <cell r="AF542">
            <v>0</v>
          </cell>
          <cell r="AG542">
            <v>18.7</v>
          </cell>
          <cell r="AH542">
            <v>19.829999999999998</v>
          </cell>
          <cell r="AI542">
            <v>0</v>
          </cell>
          <cell r="AJ542">
            <v>20.07</v>
          </cell>
          <cell r="AK542">
            <v>20.32</v>
          </cell>
          <cell r="AL542">
            <v>0</v>
          </cell>
          <cell r="AM542">
            <v>19.829999999999998</v>
          </cell>
          <cell r="AN542">
            <v>0</v>
          </cell>
          <cell r="AO542">
            <v>25.85</v>
          </cell>
          <cell r="AP542">
            <v>27.41</v>
          </cell>
          <cell r="AQ542">
            <v>0</v>
          </cell>
          <cell r="AR542">
            <v>27.75</v>
          </cell>
          <cell r="AS542">
            <v>28.09</v>
          </cell>
          <cell r="AT542">
            <v>0</v>
          </cell>
          <cell r="AU542">
            <v>27.41</v>
          </cell>
          <cell r="AV542">
            <v>0</v>
          </cell>
          <cell r="AW542">
            <v>19.59</v>
          </cell>
          <cell r="AX542">
            <v>20.77</v>
          </cell>
          <cell r="AY542">
            <v>20.9</v>
          </cell>
          <cell r="AZ542">
            <v>21.03</v>
          </cell>
          <cell r="BA542">
            <v>21.28</v>
          </cell>
          <cell r="BB542">
            <v>21.28</v>
          </cell>
          <cell r="BC542">
            <v>20.77</v>
          </cell>
          <cell r="BD542">
            <v>0</v>
          </cell>
          <cell r="BE542">
            <v>27.08</v>
          </cell>
          <cell r="BF542">
            <v>28.71</v>
          </cell>
          <cell r="BG542">
            <v>28.89</v>
          </cell>
          <cell r="BH542">
            <v>29.07</v>
          </cell>
          <cell r="BI542">
            <v>29.42</v>
          </cell>
          <cell r="BJ542">
            <v>29.79</v>
          </cell>
          <cell r="BK542">
            <v>28.71</v>
          </cell>
        </row>
        <row r="543">
          <cell r="A543"/>
          <cell r="B543"/>
          <cell r="C543"/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/>
          <cell r="P543"/>
          <cell r="Q543"/>
          <cell r="R543"/>
          <cell r="S543"/>
          <cell r="T543"/>
          <cell r="U543"/>
          <cell r="V543"/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  <cell r="AM543"/>
          <cell r="AN543"/>
          <cell r="AO543"/>
          <cell r="AP543"/>
          <cell r="AQ543"/>
          <cell r="AR543"/>
          <cell r="AS543"/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/>
          <cell r="BG543"/>
          <cell r="BH543"/>
          <cell r="BI543"/>
          <cell r="BJ543"/>
          <cell r="BK543"/>
        </row>
        <row r="544">
          <cell r="A544"/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  <cell r="AQ544"/>
          <cell r="AR544"/>
          <cell r="AS544"/>
          <cell r="AT544"/>
          <cell r="AU544"/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/>
          <cell r="BG544"/>
          <cell r="BH544"/>
          <cell r="BI544"/>
          <cell r="BJ544"/>
          <cell r="BK544"/>
        </row>
        <row r="545">
          <cell r="A545">
            <v>7891721028472</v>
          </cell>
          <cell r="B545">
            <v>1008903850071</v>
          </cell>
          <cell r="C545">
            <v>525415070046406</v>
          </cell>
          <cell r="D545" t="str">
            <v>SINVASTATINA</v>
          </cell>
          <cell r="E545" t="str">
            <v>40 MG COM REV CT BL AL PLAS INC X 30</v>
          </cell>
          <cell r="F545" t="str">
            <v>Comprimido revestido</v>
          </cell>
          <cell r="G545"/>
          <cell r="H545"/>
          <cell r="I545">
            <v>30</v>
          </cell>
          <cell r="J545"/>
          <cell r="K545" t="str">
            <v>Conformidade</v>
          </cell>
          <cell r="L545">
            <v>1</v>
          </cell>
          <cell r="M545" t="str">
            <v>Tarja Vermelha</v>
          </cell>
          <cell r="N545" t="str">
            <v>Não</v>
          </cell>
          <cell r="O545" t="str">
            <v>Não</v>
          </cell>
          <cell r="P545" t="str">
            <v>Sim</v>
          </cell>
          <cell r="Q545" t="str">
            <v>I</v>
          </cell>
          <cell r="R545"/>
          <cell r="S545" t="str">
            <v>Genérico</v>
          </cell>
          <cell r="T545" t="str">
            <v>Monitorado</v>
          </cell>
          <cell r="U545"/>
          <cell r="V545" t="str">
            <v>79902-63-9</v>
          </cell>
          <cell r="W545"/>
          <cell r="X545"/>
          <cell r="Y545"/>
          <cell r="Z545">
            <v>8016</v>
          </cell>
          <cell r="AA545" t="str">
            <v>213 - ESTATINAS, INIBIDORES DA REDUTASE HMG-CoA</v>
          </cell>
          <cell r="AB545" t="str">
            <v>N</v>
          </cell>
          <cell r="AC545" t="str">
            <v>N</v>
          </cell>
          <cell r="AD545"/>
          <cell r="AE545" t="str">
            <v>N</v>
          </cell>
          <cell r="AF545">
            <v>0</v>
          </cell>
          <cell r="AG545">
            <v>36.299999999999997</v>
          </cell>
          <cell r="AH545">
            <v>38.49</v>
          </cell>
          <cell r="AI545">
            <v>0</v>
          </cell>
          <cell r="AJ545">
            <v>38.96</v>
          </cell>
          <cell r="AK545">
            <v>39.44</v>
          </cell>
          <cell r="AL545">
            <v>0</v>
          </cell>
          <cell r="AM545">
            <v>38.49</v>
          </cell>
          <cell r="AN545">
            <v>0</v>
          </cell>
          <cell r="AO545">
            <v>50.18</v>
          </cell>
          <cell r="AP545">
            <v>53.21</v>
          </cell>
          <cell r="AQ545">
            <v>0</v>
          </cell>
          <cell r="AR545">
            <v>53.86</v>
          </cell>
          <cell r="AS545">
            <v>54.52</v>
          </cell>
          <cell r="AT545">
            <v>0</v>
          </cell>
          <cell r="AU545">
            <v>53.21</v>
          </cell>
          <cell r="AV545">
            <v>0</v>
          </cell>
          <cell r="AW545">
            <v>38.03</v>
          </cell>
          <cell r="AX545">
            <v>40.32</v>
          </cell>
          <cell r="AY545">
            <v>40.57</v>
          </cell>
          <cell r="AZ545">
            <v>40.81</v>
          </cell>
          <cell r="BA545">
            <v>41.32</v>
          </cell>
          <cell r="BB545">
            <v>41.32</v>
          </cell>
          <cell r="BC545">
            <v>40.32</v>
          </cell>
          <cell r="BD545">
            <v>0</v>
          </cell>
          <cell r="BE545">
            <v>52.57</v>
          </cell>
          <cell r="BF545">
            <v>55.74</v>
          </cell>
          <cell r="BG545">
            <v>56.09</v>
          </cell>
          <cell r="BH545">
            <v>56.42</v>
          </cell>
          <cell r="BI545">
            <v>57.12</v>
          </cell>
          <cell r="BJ545">
            <v>57.83</v>
          </cell>
          <cell r="BK545">
            <v>55.74</v>
          </cell>
        </row>
        <row r="546">
          <cell r="A546"/>
          <cell r="B546"/>
          <cell r="C546"/>
          <cell r="D546"/>
          <cell r="E546"/>
          <cell r="F546"/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  <cell r="AQ546"/>
          <cell r="AR546"/>
          <cell r="AS546"/>
          <cell r="AT546"/>
          <cell r="AU546"/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/>
          <cell r="BG546"/>
          <cell r="BH546"/>
          <cell r="BI546"/>
          <cell r="BJ546"/>
          <cell r="BK546"/>
        </row>
        <row r="547">
          <cell r="A547">
            <v>7891721028496</v>
          </cell>
          <cell r="B547">
            <v>1008903850096</v>
          </cell>
          <cell r="C547">
            <v>525415070046306</v>
          </cell>
          <cell r="D547" t="str">
            <v>SINVASTATINA</v>
          </cell>
          <cell r="E547" t="str">
            <v>80 MG COM REV CT BL AL PLAS INC X 30</v>
          </cell>
          <cell r="F547" t="str">
            <v>Comprimido revestido</v>
          </cell>
          <cell r="G547"/>
          <cell r="H547"/>
          <cell r="I547">
            <v>30</v>
          </cell>
          <cell r="J547"/>
          <cell r="K547" t="str">
            <v>Conformidade</v>
          </cell>
          <cell r="L547">
            <v>1</v>
          </cell>
          <cell r="M547" t="str">
            <v>Tarja Vermelha</v>
          </cell>
          <cell r="N547" t="str">
            <v>Não</v>
          </cell>
          <cell r="O547" t="str">
            <v>Não</v>
          </cell>
          <cell r="P547" t="str">
            <v>Sim</v>
          </cell>
          <cell r="Q547" t="str">
            <v>I</v>
          </cell>
          <cell r="R547"/>
          <cell r="S547" t="str">
            <v>Genérico</v>
          </cell>
          <cell r="T547" t="str">
            <v>Monitorado</v>
          </cell>
          <cell r="U547"/>
          <cell r="V547" t="str">
            <v>79902-63-9</v>
          </cell>
          <cell r="W547"/>
          <cell r="X547"/>
          <cell r="Y547"/>
          <cell r="Z547">
            <v>8016</v>
          </cell>
          <cell r="AA547" t="str">
            <v>213 - ESTATINAS, INIBIDORES DA REDUTASE HMG-CoA</v>
          </cell>
          <cell r="AB547" t="str">
            <v>N</v>
          </cell>
          <cell r="AC547" t="str">
            <v>N</v>
          </cell>
          <cell r="AD547"/>
          <cell r="AE547" t="str">
            <v>N</v>
          </cell>
          <cell r="AF547">
            <v>0</v>
          </cell>
          <cell r="AG547">
            <v>43.55</v>
          </cell>
          <cell r="AH547">
            <v>46.17</v>
          </cell>
          <cell r="AI547">
            <v>0</v>
          </cell>
          <cell r="AJ547">
            <v>46.73</v>
          </cell>
          <cell r="AK547">
            <v>47.31</v>
          </cell>
          <cell r="AL547">
            <v>0</v>
          </cell>
          <cell r="AM547">
            <v>46.17</v>
          </cell>
          <cell r="AN547">
            <v>0</v>
          </cell>
          <cell r="AO547">
            <v>60.21</v>
          </cell>
          <cell r="AP547">
            <v>63.83</v>
          </cell>
          <cell r="AQ547">
            <v>0</v>
          </cell>
          <cell r="AR547">
            <v>64.61</v>
          </cell>
          <cell r="AS547">
            <v>65.400000000000006</v>
          </cell>
          <cell r="AT547">
            <v>0</v>
          </cell>
          <cell r="AU547">
            <v>63.83</v>
          </cell>
          <cell r="AV547">
            <v>0</v>
          </cell>
          <cell r="AW547">
            <v>45.62</v>
          </cell>
          <cell r="AX547">
            <v>48.36</v>
          </cell>
          <cell r="AY547">
            <v>48.66</v>
          </cell>
          <cell r="AZ547">
            <v>48.95</v>
          </cell>
          <cell r="BA547">
            <v>49.56</v>
          </cell>
          <cell r="BB547">
            <v>49.56</v>
          </cell>
          <cell r="BC547">
            <v>48.36</v>
          </cell>
          <cell r="BD547">
            <v>0</v>
          </cell>
          <cell r="BE547">
            <v>63.07</v>
          </cell>
          <cell r="BF547">
            <v>66.849999999999994</v>
          </cell>
          <cell r="BG547">
            <v>67.27</v>
          </cell>
          <cell r="BH547">
            <v>67.67</v>
          </cell>
          <cell r="BI547">
            <v>68.510000000000005</v>
          </cell>
          <cell r="BJ547">
            <v>69.37</v>
          </cell>
          <cell r="BK547">
            <v>66.849999999999994</v>
          </cell>
        </row>
        <row r="548">
          <cell r="A548">
            <v>7898106030556</v>
          </cell>
          <cell r="B548">
            <v>1008903820014</v>
          </cell>
          <cell r="C548">
            <v>525415120047017</v>
          </cell>
          <cell r="D548" t="str">
            <v>STILAMIN</v>
          </cell>
          <cell r="E548" t="str">
            <v>3 MG PÓ LIOF INJ CT 01 AMP VD INC + SOL DIL X 1 ML</v>
          </cell>
          <cell r="F548" t="str">
            <v>PÓ LIOFILIZADO INJETÁVEL</v>
          </cell>
          <cell r="G548">
            <v>1</v>
          </cell>
          <cell r="H548" t="str">
            <v>AMPOLA</v>
          </cell>
          <cell r="I548"/>
          <cell r="J548"/>
          <cell r="K548" t="str">
            <v>Conformidade</v>
          </cell>
          <cell r="L548">
            <v>3</v>
          </cell>
          <cell r="M548" t="str">
            <v>Tarja Vermelha</v>
          </cell>
          <cell r="N548" t="str">
            <v>Sim</v>
          </cell>
          <cell r="O548" t="str">
            <v>Não</v>
          </cell>
          <cell r="P548" t="str">
            <v>Não</v>
          </cell>
          <cell r="Q548" t="str">
            <v>I</v>
          </cell>
          <cell r="R548"/>
          <cell r="S548" t="str">
            <v>Genérico</v>
          </cell>
          <cell r="T548" t="str">
            <v>Monitorado</v>
          </cell>
          <cell r="U548"/>
          <cell r="V548" t="str">
            <v>38916-34-6</v>
          </cell>
          <cell r="W548"/>
          <cell r="X548"/>
          <cell r="Y548"/>
          <cell r="Z548">
            <v>8044</v>
          </cell>
          <cell r="AA548" t="str">
            <v>152 - TECIDOS HEMOSTÁTICOS</v>
          </cell>
          <cell r="AB548" t="str">
            <v>N</v>
          </cell>
          <cell r="AC548" t="str">
            <v>N</v>
          </cell>
          <cell r="AD548"/>
          <cell r="AE548" t="str">
            <v>N</v>
          </cell>
          <cell r="AF548">
            <v>0</v>
          </cell>
          <cell r="AG548">
            <v>729.18</v>
          </cell>
          <cell r="AH548">
            <v>773.11</v>
          </cell>
          <cell r="AI548">
            <v>0</v>
          </cell>
          <cell r="AJ548">
            <v>782.54</v>
          </cell>
          <cell r="AK548">
            <v>792.2</v>
          </cell>
          <cell r="AL548">
            <v>0</v>
          </cell>
          <cell r="AM548">
            <v>773.11</v>
          </cell>
          <cell r="AN548">
            <v>0</v>
          </cell>
          <cell r="AO548">
            <v>1008.05</v>
          </cell>
          <cell r="AP548">
            <v>1068.78</v>
          </cell>
          <cell r="AQ548">
            <v>0</v>
          </cell>
          <cell r="AR548">
            <v>1081.81</v>
          </cell>
          <cell r="AS548">
            <v>1095.17</v>
          </cell>
          <cell r="AT548">
            <v>0</v>
          </cell>
          <cell r="AU548">
            <v>1068.78</v>
          </cell>
          <cell r="AV548">
            <v>0</v>
          </cell>
          <cell r="AW548">
            <v>739.1</v>
          </cell>
          <cell r="AX548">
            <v>783.63</v>
          </cell>
          <cell r="AY548">
            <v>788.37</v>
          </cell>
          <cell r="AZ548">
            <v>793.18</v>
          </cell>
          <cell r="BA548">
            <v>802.98</v>
          </cell>
          <cell r="BB548">
            <v>802.98</v>
          </cell>
          <cell r="BC548">
            <v>783.63</v>
          </cell>
          <cell r="BD548">
            <v>0</v>
          </cell>
          <cell r="BE548">
            <v>1021.76</v>
          </cell>
          <cell r="BF548">
            <v>1083.32</v>
          </cell>
          <cell r="BG548">
            <v>1089.8800000000001</v>
          </cell>
          <cell r="BH548">
            <v>1096.53</v>
          </cell>
          <cell r="BI548">
            <v>1110.07</v>
          </cell>
          <cell r="BJ548">
            <v>1123.94</v>
          </cell>
          <cell r="BK548">
            <v>1083.32</v>
          </cell>
        </row>
        <row r="549">
          <cell r="A549">
            <v>7891721238475</v>
          </cell>
          <cell r="B549">
            <v>1008903120012</v>
          </cell>
          <cell r="C549">
            <v>525417201130119</v>
          </cell>
          <cell r="D549" t="str">
            <v>SULFATO DE TERBUTALINA</v>
          </cell>
          <cell r="E549" t="str">
            <v>0,3 MG/ML XPE CT FR VD AMB X 100 ML + CP MED </v>
          </cell>
          <cell r="F549" t="str">
            <v>Xarope</v>
          </cell>
          <cell r="G549">
            <v>1</v>
          </cell>
          <cell r="H549" t="str">
            <v>FRASCO</v>
          </cell>
          <cell r="I549">
            <v>100</v>
          </cell>
          <cell r="J549" t="str">
            <v>ML</v>
          </cell>
          <cell r="K549" t="str">
            <v>Conformidade</v>
          </cell>
          <cell r="L549">
            <v>2</v>
          </cell>
          <cell r="M549" t="str">
            <v>Tarja Vermelha</v>
          </cell>
          <cell r="N549" t="str">
            <v>Não</v>
          </cell>
          <cell r="O549" t="str">
            <v>Não</v>
          </cell>
          <cell r="P549" t="str">
            <v>Não</v>
          </cell>
          <cell r="Q549" t="str">
            <v>I</v>
          </cell>
          <cell r="R549"/>
          <cell r="S549" t="str">
            <v>Genérico</v>
          </cell>
          <cell r="T549" t="str">
            <v>Monitorado</v>
          </cell>
          <cell r="U549"/>
          <cell r="V549" t="str">
            <v>23031-32-5</v>
          </cell>
          <cell r="W549"/>
          <cell r="X549"/>
          <cell r="Y549" t="str">
            <v>MG/ML</v>
          </cell>
          <cell r="Z549">
            <v>8415</v>
          </cell>
          <cell r="AA549" t="str">
            <v>535 - ANTIASMÁTICOS/DPOC AGONISTAS B2 SISTÊMICOS</v>
          </cell>
          <cell r="AB549" t="str">
            <v>N</v>
          </cell>
          <cell r="AC549" t="str">
            <v>N</v>
          </cell>
          <cell r="AD549">
            <v>0</v>
          </cell>
          <cell r="AE549" t="str">
            <v>N</v>
          </cell>
          <cell r="AF549">
            <v>0</v>
          </cell>
          <cell r="AG549">
            <v>6.6</v>
          </cell>
          <cell r="AH549">
            <v>6.99</v>
          </cell>
          <cell r="AI549">
            <v>0</v>
          </cell>
          <cell r="AJ549">
            <v>7.08</v>
          </cell>
          <cell r="AK549">
            <v>7.17</v>
          </cell>
          <cell r="AL549">
            <v>0</v>
          </cell>
          <cell r="AM549">
            <v>6.99</v>
          </cell>
          <cell r="AN549">
            <v>0</v>
          </cell>
          <cell r="AO549">
            <v>9.1199999999999992</v>
          </cell>
          <cell r="AP549">
            <v>9.66</v>
          </cell>
          <cell r="AQ549">
            <v>0</v>
          </cell>
          <cell r="AR549">
            <v>9.7899999999999991</v>
          </cell>
          <cell r="AS549">
            <v>9.91</v>
          </cell>
          <cell r="AT549">
            <v>0</v>
          </cell>
          <cell r="AU549">
            <v>9.66</v>
          </cell>
          <cell r="AV549">
            <v>0</v>
          </cell>
          <cell r="AW549">
            <v>6.6</v>
          </cell>
          <cell r="AX549">
            <v>6.99</v>
          </cell>
          <cell r="AY549">
            <v>7.04</v>
          </cell>
          <cell r="AZ549">
            <v>7.08</v>
          </cell>
          <cell r="BA549">
            <v>7.17</v>
          </cell>
          <cell r="BB549">
            <v>7.17</v>
          </cell>
          <cell r="BC549">
            <v>6.99</v>
          </cell>
          <cell r="BD549">
            <v>0</v>
          </cell>
          <cell r="BE549">
            <v>9.1199999999999992</v>
          </cell>
          <cell r="BF549">
            <v>9.66</v>
          </cell>
          <cell r="BG549">
            <v>9.73</v>
          </cell>
          <cell r="BH549">
            <v>9.7899999999999991</v>
          </cell>
          <cell r="BI549">
            <v>9.91</v>
          </cell>
          <cell r="BJ549">
            <v>10.039999999999999</v>
          </cell>
          <cell r="BK549">
            <v>9.66</v>
          </cell>
        </row>
        <row r="550">
          <cell r="A550">
            <v>7891721017261</v>
          </cell>
          <cell r="B550">
            <v>1008903300029</v>
          </cell>
          <cell r="C550">
            <v>525419202118313</v>
          </cell>
          <cell r="D550" t="str">
            <v>THIOCTACID</v>
          </cell>
          <cell r="E550" t="str">
            <v>600 MG COM REV CT FR VD AMB X 30</v>
          </cell>
          <cell r="F550" t="str">
            <v>Comprimido revestido</v>
          </cell>
          <cell r="G550"/>
          <cell r="H550"/>
          <cell r="I550">
            <v>30</v>
          </cell>
          <cell r="J550"/>
          <cell r="K550" t="str">
            <v>Conformidade</v>
          </cell>
          <cell r="L550">
            <v>3</v>
          </cell>
          <cell r="M550" t="str">
            <v>Tarja Vermelha</v>
          </cell>
          <cell r="N550" t="str">
            <v>Não</v>
          </cell>
          <cell r="O550" t="str">
            <v>Não</v>
          </cell>
          <cell r="P550" t="str">
            <v>Não</v>
          </cell>
          <cell r="Q550" t="str">
            <v>I</v>
          </cell>
          <cell r="R550"/>
          <cell r="S550" t="str">
            <v>Genérico</v>
          </cell>
          <cell r="T550" t="str">
            <v>Monitorado</v>
          </cell>
          <cell r="U550"/>
          <cell r="V550" t="str">
            <v>62-46-4</v>
          </cell>
          <cell r="W550"/>
          <cell r="X550"/>
          <cell r="Y550" t="str">
            <v>MG</v>
          </cell>
          <cell r="Z550">
            <v>361</v>
          </cell>
          <cell r="AA550" t="str">
            <v>758 - OUTROS MEDICAMENTOS USADOS EM DIABETES</v>
          </cell>
          <cell r="AB550" t="str">
            <v>N</v>
          </cell>
          <cell r="AC550" t="str">
            <v>N</v>
          </cell>
          <cell r="AD550">
            <v>0</v>
          </cell>
          <cell r="AE550" t="str">
            <v>N</v>
          </cell>
          <cell r="AF550">
            <v>0</v>
          </cell>
          <cell r="AG550">
            <v>102.45</v>
          </cell>
          <cell r="AH550">
            <v>108.62</v>
          </cell>
          <cell r="AI550">
            <v>0</v>
          </cell>
          <cell r="AJ550">
            <v>109.95</v>
          </cell>
          <cell r="AK550">
            <v>111.3</v>
          </cell>
          <cell r="AL550">
            <v>0</v>
          </cell>
          <cell r="AM550">
            <v>108.62</v>
          </cell>
          <cell r="AN550">
            <v>0</v>
          </cell>
          <cell r="AO550">
            <v>141.63</v>
          </cell>
          <cell r="AP550">
            <v>150.16</v>
          </cell>
          <cell r="AQ550">
            <v>0</v>
          </cell>
          <cell r="AR550">
            <v>151.99</v>
          </cell>
          <cell r="AS550">
            <v>153.87</v>
          </cell>
          <cell r="AT550">
            <v>0</v>
          </cell>
          <cell r="AU550">
            <v>150.16</v>
          </cell>
          <cell r="AV550">
            <v>0</v>
          </cell>
          <cell r="AW550">
            <v>103.85</v>
          </cell>
          <cell r="AX550">
            <v>110.1</v>
          </cell>
          <cell r="AY550">
            <v>110.77</v>
          </cell>
          <cell r="AZ550">
            <v>111.45</v>
          </cell>
          <cell r="BA550">
            <v>112.82</v>
          </cell>
          <cell r="BB550">
            <v>112.82</v>
          </cell>
          <cell r="BC550">
            <v>110.1</v>
          </cell>
          <cell r="BD550">
            <v>0</v>
          </cell>
          <cell r="BE550">
            <v>143.57</v>
          </cell>
          <cell r="BF550">
            <v>152.21</v>
          </cell>
          <cell r="BG550">
            <v>153.13</v>
          </cell>
          <cell r="BH550">
            <v>154.07</v>
          </cell>
          <cell r="BI550">
            <v>155.97</v>
          </cell>
          <cell r="BJ550">
            <v>157.91999999999999</v>
          </cell>
          <cell r="BK550">
            <v>152.21</v>
          </cell>
        </row>
        <row r="551">
          <cell r="A551"/>
          <cell r="B551"/>
          <cell r="C551"/>
          <cell r="D551"/>
          <cell r="E551"/>
          <cell r="F551"/>
          <cell r="G551"/>
          <cell r="H551"/>
          <cell r="I551"/>
          <cell r="J551"/>
          <cell r="K551"/>
          <cell r="L551"/>
          <cell r="M551"/>
          <cell r="N551"/>
          <cell r="O551"/>
          <cell r="P551"/>
          <cell r="Q551"/>
          <cell r="R551"/>
          <cell r="S551"/>
          <cell r="T551"/>
          <cell r="U551"/>
          <cell r="V551"/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/>
          <cell r="AI551"/>
          <cell r="AJ551"/>
          <cell r="AK551"/>
          <cell r="AL551"/>
          <cell r="AM551"/>
          <cell r="AN551"/>
          <cell r="AO551"/>
          <cell r="AP551"/>
          <cell r="AQ551"/>
          <cell r="AR551"/>
          <cell r="AS551"/>
          <cell r="AT551"/>
          <cell r="AU551"/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/>
          <cell r="BG551"/>
          <cell r="BH551"/>
          <cell r="BI551"/>
          <cell r="BJ551"/>
          <cell r="BK551"/>
        </row>
        <row r="552">
          <cell r="A552"/>
          <cell r="B552"/>
          <cell r="C552"/>
          <cell r="D552"/>
          <cell r="E552"/>
          <cell r="F552"/>
          <cell r="G552"/>
          <cell r="H552"/>
          <cell r="I552"/>
          <cell r="J552"/>
          <cell r="K552"/>
          <cell r="L552"/>
          <cell r="M552"/>
          <cell r="N552"/>
          <cell r="O552"/>
          <cell r="P552"/>
          <cell r="Q552"/>
          <cell r="R552"/>
          <cell r="S552"/>
          <cell r="T552"/>
          <cell r="U552"/>
          <cell r="V552"/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/>
          <cell r="AI552"/>
          <cell r="AJ552"/>
          <cell r="AK552"/>
          <cell r="AL552"/>
          <cell r="AM552"/>
          <cell r="AN552"/>
          <cell r="AO552"/>
          <cell r="AP552"/>
          <cell r="AQ552"/>
          <cell r="AR552"/>
          <cell r="AS552"/>
          <cell r="AT552"/>
          <cell r="AU552"/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/>
          <cell r="BG552"/>
          <cell r="BH552"/>
          <cell r="BI552"/>
          <cell r="BJ552"/>
          <cell r="BK552"/>
        </row>
        <row r="553">
          <cell r="A553" t="str">
            <v>Totais</v>
          </cell>
          <cell r="B553"/>
          <cell r="C553"/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/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  <cell r="AG553"/>
          <cell r="AH553"/>
          <cell r="AI553"/>
          <cell r="AJ553"/>
          <cell r="AK553"/>
          <cell r="AL553"/>
          <cell r="AM553"/>
          <cell r="AN553"/>
          <cell r="AO553"/>
          <cell r="AP553"/>
          <cell r="AQ553"/>
          <cell r="AR553"/>
          <cell r="AS553"/>
          <cell r="AT553"/>
          <cell r="AU553"/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/>
          <cell r="BG553"/>
          <cell r="BH553"/>
          <cell r="BI553"/>
          <cell r="BJ553"/>
          <cell r="BK55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2">
          <cell r="H2">
            <v>7891721023477</v>
          </cell>
          <cell r="I2">
            <v>0</v>
          </cell>
          <cell r="J2">
            <v>73.257824190712341</v>
          </cell>
        </row>
        <row r="3">
          <cell r="H3">
            <v>7891721023484</v>
          </cell>
          <cell r="I3">
            <v>0</v>
          </cell>
          <cell r="J3">
            <v>143.83382327162599</v>
          </cell>
        </row>
        <row r="4">
          <cell r="H4">
            <v>7891721200915</v>
          </cell>
          <cell r="I4">
            <v>0</v>
          </cell>
          <cell r="J4">
            <v>14.799242725277123</v>
          </cell>
        </row>
        <row r="5">
          <cell r="H5">
            <v>7891721023965</v>
          </cell>
          <cell r="I5">
            <v>0</v>
          </cell>
          <cell r="J5">
            <v>36.377670933857651</v>
          </cell>
        </row>
        <row r="6">
          <cell r="H6">
            <v>7891721023958</v>
          </cell>
          <cell r="I6">
            <v>0</v>
          </cell>
          <cell r="J6">
            <v>16.045096987544348</v>
          </cell>
        </row>
        <row r="7">
          <cell r="H7">
            <v>7891721013010</v>
          </cell>
          <cell r="I7">
            <v>0</v>
          </cell>
          <cell r="J7">
            <v>18.487843907315785</v>
          </cell>
        </row>
        <row r="8">
          <cell r="H8">
            <v>7891721008405</v>
          </cell>
          <cell r="I8">
            <v>0</v>
          </cell>
          <cell r="J8">
            <v>37.087182487318238</v>
          </cell>
        </row>
        <row r="9">
          <cell r="H9">
            <v>7891721012990</v>
          </cell>
          <cell r="I9">
            <v>0</v>
          </cell>
          <cell r="J9">
            <v>4.9260373568834828</v>
          </cell>
        </row>
        <row r="10">
          <cell r="H10">
            <v>7891721008368</v>
          </cell>
          <cell r="I10">
            <v>0</v>
          </cell>
          <cell r="J10">
            <v>18.366213355293972</v>
          </cell>
        </row>
        <row r="11">
          <cell r="H11">
            <v>7891721028922</v>
          </cell>
          <cell r="I11">
            <v>0</v>
          </cell>
          <cell r="J11">
            <v>6.1220711184313243</v>
          </cell>
        </row>
        <row r="12">
          <cell r="H12">
            <v>7891721000423</v>
          </cell>
          <cell r="I12">
            <v>0</v>
          </cell>
          <cell r="J12">
            <v>17.945388000000001</v>
          </cell>
        </row>
        <row r="13">
          <cell r="H13">
            <v>7891721000300</v>
          </cell>
          <cell r="I13">
            <v>0</v>
          </cell>
          <cell r="J13">
            <v>29.789704000000004</v>
          </cell>
        </row>
        <row r="14">
          <cell r="H14">
            <v>7891721000225</v>
          </cell>
          <cell r="I14">
            <v>0</v>
          </cell>
          <cell r="J14">
            <v>40.229784000000002</v>
          </cell>
        </row>
        <row r="15">
          <cell r="H15">
            <v>7891721000355</v>
          </cell>
          <cell r="I15">
            <v>0</v>
          </cell>
          <cell r="J15">
            <v>62.19</v>
          </cell>
        </row>
        <row r="16">
          <cell r="H16">
            <v>7891721276019</v>
          </cell>
          <cell r="I16">
            <v>0</v>
          </cell>
          <cell r="J16">
            <v>16.929021005604337</v>
          </cell>
        </row>
        <row r="17">
          <cell r="H17">
            <v>7891721276026</v>
          </cell>
          <cell r="I17">
            <v>0</v>
          </cell>
          <cell r="J17">
            <v>23.696439056112013</v>
          </cell>
        </row>
        <row r="18">
          <cell r="H18">
            <v>7891721022777</v>
          </cell>
          <cell r="I18">
            <v>0</v>
          </cell>
          <cell r="J18">
            <v>35.094195772756514</v>
          </cell>
        </row>
        <row r="19">
          <cell r="H19">
            <v>7891721277450</v>
          </cell>
          <cell r="I19">
            <v>0</v>
          </cell>
          <cell r="J19">
            <v>34.821822910042592</v>
          </cell>
        </row>
        <row r="20">
          <cell r="H20">
            <v>7891721277436</v>
          </cell>
          <cell r="I20">
            <v>0</v>
          </cell>
          <cell r="J20">
            <v>21.821256655119946</v>
          </cell>
        </row>
        <row r="21">
          <cell r="H21">
            <v>7891721277429</v>
          </cell>
          <cell r="I21">
            <v>0</v>
          </cell>
          <cell r="J21">
            <v>43.642513310239892</v>
          </cell>
        </row>
        <row r="22">
          <cell r="H22">
            <v>7891721002052</v>
          </cell>
          <cell r="I22">
            <v>0</v>
          </cell>
          <cell r="J22">
            <v>72.421720000000008</v>
          </cell>
        </row>
        <row r="23">
          <cell r="H23">
            <v>7891721002038</v>
          </cell>
          <cell r="I23">
            <v>0</v>
          </cell>
          <cell r="J23">
            <v>54.947256000000003</v>
          </cell>
        </row>
        <row r="24">
          <cell r="H24">
            <v>7891721002045</v>
          </cell>
          <cell r="I24">
            <v>0</v>
          </cell>
          <cell r="J24">
            <v>71.458800000000011</v>
          </cell>
        </row>
        <row r="25">
          <cell r="H25">
            <v>7891721013034</v>
          </cell>
          <cell r="I25">
            <v>0</v>
          </cell>
          <cell r="J25">
            <v>7.8464336220282487</v>
          </cell>
        </row>
        <row r="26">
          <cell r="H26">
            <v>7891721013096</v>
          </cell>
          <cell r="I26">
            <v>0</v>
          </cell>
          <cell r="J26">
            <v>12.089164752764482</v>
          </cell>
        </row>
        <row r="27">
          <cell r="H27">
            <v>7891721238376</v>
          </cell>
          <cell r="I27">
            <v>0</v>
          </cell>
          <cell r="J27">
            <v>11.02</v>
          </cell>
        </row>
        <row r="28">
          <cell r="H28">
            <v>7891721255601</v>
          </cell>
          <cell r="I28">
            <v>0</v>
          </cell>
          <cell r="J28">
            <v>1</v>
          </cell>
        </row>
        <row r="29">
          <cell r="H29">
            <v>7891721255625</v>
          </cell>
          <cell r="I29">
            <v>0</v>
          </cell>
          <cell r="J29">
            <v>1</v>
          </cell>
        </row>
        <row r="30">
          <cell r="H30">
            <v>7891721024337</v>
          </cell>
          <cell r="I30">
            <v>0</v>
          </cell>
          <cell r="J30">
            <v>29.88</v>
          </cell>
        </row>
        <row r="31">
          <cell r="H31">
            <v>7891721100017</v>
          </cell>
          <cell r="I31">
            <v>0</v>
          </cell>
          <cell r="J31">
            <v>12.37</v>
          </cell>
        </row>
        <row r="32">
          <cell r="H32">
            <v>7891721104923</v>
          </cell>
          <cell r="I32">
            <v>0</v>
          </cell>
          <cell r="J32">
            <v>12.37</v>
          </cell>
        </row>
        <row r="33">
          <cell r="H33">
            <v>7891721104831</v>
          </cell>
          <cell r="I33">
            <v>0</v>
          </cell>
          <cell r="J33">
            <v>12.91</v>
          </cell>
        </row>
        <row r="34">
          <cell r="H34">
            <v>7891721100024</v>
          </cell>
          <cell r="I34">
            <v>0</v>
          </cell>
          <cell r="J34">
            <v>15.654630710094672</v>
          </cell>
        </row>
        <row r="35">
          <cell r="H35">
            <v>7891721100048</v>
          </cell>
          <cell r="I35">
            <v>0</v>
          </cell>
          <cell r="J35">
            <v>13.02</v>
          </cell>
        </row>
        <row r="36">
          <cell r="H36">
            <v>7891721022128</v>
          </cell>
          <cell r="I36">
            <v>0</v>
          </cell>
          <cell r="J36">
            <v>22.12</v>
          </cell>
        </row>
        <row r="37">
          <cell r="H37">
            <v>7891721100031</v>
          </cell>
          <cell r="I37">
            <v>0</v>
          </cell>
          <cell r="J37">
            <v>13.196914894366861</v>
          </cell>
        </row>
        <row r="38">
          <cell r="H38">
            <v>7891721100055</v>
          </cell>
          <cell r="I38">
            <v>0</v>
          </cell>
          <cell r="J38">
            <v>1</v>
          </cell>
        </row>
        <row r="39">
          <cell r="H39">
            <v>7891721100130</v>
          </cell>
          <cell r="I39">
            <v>0</v>
          </cell>
          <cell r="J39">
            <v>1</v>
          </cell>
        </row>
        <row r="40">
          <cell r="H40">
            <v>7891721104848</v>
          </cell>
          <cell r="I40">
            <v>0</v>
          </cell>
          <cell r="J40">
            <v>1</v>
          </cell>
        </row>
        <row r="41">
          <cell r="H41">
            <v>7891721013553</v>
          </cell>
          <cell r="I41">
            <v>0</v>
          </cell>
          <cell r="J41">
            <v>74.599596000000005</v>
          </cell>
        </row>
        <row r="42">
          <cell r="H42">
            <v>7891721013447</v>
          </cell>
          <cell r="I42">
            <v>0</v>
          </cell>
          <cell r="J42">
            <v>46.366776000000002</v>
          </cell>
        </row>
        <row r="43">
          <cell r="H43">
            <v>7891721022548</v>
          </cell>
          <cell r="I43">
            <v>0</v>
          </cell>
          <cell r="J43">
            <v>218.44093599999999</v>
          </cell>
        </row>
        <row r="44">
          <cell r="H44">
            <v>7891721027253</v>
          </cell>
          <cell r="I44">
            <v>0</v>
          </cell>
          <cell r="J44">
            <v>564.84496799999999</v>
          </cell>
        </row>
        <row r="45">
          <cell r="H45">
            <v>7891721274107</v>
          </cell>
          <cell r="I45">
            <v>0</v>
          </cell>
          <cell r="J45">
            <v>91.485854233875415</v>
          </cell>
        </row>
        <row r="46">
          <cell r="H46">
            <v>7891721020520</v>
          </cell>
          <cell r="I46">
            <v>0</v>
          </cell>
          <cell r="J46">
            <v>6.9430773445785707</v>
          </cell>
        </row>
        <row r="47">
          <cell r="H47">
            <v>7891721020506</v>
          </cell>
          <cell r="I47">
            <v>0</v>
          </cell>
          <cell r="J47">
            <v>10.135879335151198</v>
          </cell>
        </row>
        <row r="48">
          <cell r="H48">
            <v>7891721028946</v>
          </cell>
          <cell r="I48">
            <v>0</v>
          </cell>
          <cell r="J48">
            <v>2.3109804884144731</v>
          </cell>
        </row>
        <row r="49">
          <cell r="H49">
            <v>7891721028939</v>
          </cell>
          <cell r="I49">
            <v>0</v>
          </cell>
          <cell r="J49">
            <v>3.3752478186053492</v>
          </cell>
        </row>
        <row r="50">
          <cell r="H50">
            <v>7891721029394</v>
          </cell>
          <cell r="I50">
            <v>0</v>
          </cell>
          <cell r="J50">
            <v>98.06463256758785</v>
          </cell>
        </row>
        <row r="51">
          <cell r="H51">
            <v>7891721028335</v>
          </cell>
          <cell r="I51">
            <v>0</v>
          </cell>
          <cell r="J51">
            <v>37.827101678784274</v>
          </cell>
        </row>
        <row r="52">
          <cell r="H52">
            <v>7891721000133</v>
          </cell>
          <cell r="I52">
            <v>0</v>
          </cell>
          <cell r="J52">
            <v>37.827101678784274</v>
          </cell>
        </row>
        <row r="53">
          <cell r="H53">
            <v>7891721271212</v>
          </cell>
          <cell r="I53">
            <v>0</v>
          </cell>
          <cell r="J53">
            <v>87.36</v>
          </cell>
        </row>
        <row r="54">
          <cell r="H54">
            <v>7891721271205</v>
          </cell>
          <cell r="I54">
            <v>0</v>
          </cell>
          <cell r="J54">
            <v>62.38</v>
          </cell>
        </row>
        <row r="55">
          <cell r="H55">
            <v>7891721001994</v>
          </cell>
          <cell r="I55">
            <v>0</v>
          </cell>
          <cell r="J55">
            <v>15.672096000000002</v>
          </cell>
        </row>
        <row r="56">
          <cell r="H56">
            <v>7891721000812</v>
          </cell>
          <cell r="I56">
            <v>0</v>
          </cell>
          <cell r="J56">
            <v>22.565304000000001</v>
          </cell>
        </row>
        <row r="57">
          <cell r="H57">
            <v>7891721013522</v>
          </cell>
          <cell r="I57">
            <v>0</v>
          </cell>
          <cell r="J57">
            <v>33.847956000000003</v>
          </cell>
        </row>
        <row r="58">
          <cell r="H58">
            <v>7891721003059</v>
          </cell>
          <cell r="I58">
            <v>0</v>
          </cell>
          <cell r="J58">
            <v>4.5884879999999999</v>
          </cell>
        </row>
        <row r="59">
          <cell r="H59">
            <v>7891721003042</v>
          </cell>
          <cell r="I59">
            <v>0</v>
          </cell>
          <cell r="J59">
            <v>13.734036</v>
          </cell>
        </row>
        <row r="60">
          <cell r="H60">
            <v>7891721013119</v>
          </cell>
          <cell r="I60">
            <v>0</v>
          </cell>
          <cell r="J60">
            <v>8.7474600000000002</v>
          </cell>
        </row>
        <row r="61">
          <cell r="H61">
            <v>7891721012884</v>
          </cell>
          <cell r="I61">
            <v>0</v>
          </cell>
          <cell r="J61">
            <v>26.263332000000002</v>
          </cell>
        </row>
        <row r="62">
          <cell r="H62">
            <v>7891721016189</v>
          </cell>
          <cell r="I62">
            <v>0</v>
          </cell>
          <cell r="J62">
            <v>17.725392000000003</v>
          </cell>
        </row>
        <row r="63">
          <cell r="H63">
            <v>7891721016165</v>
          </cell>
          <cell r="I63">
            <v>0</v>
          </cell>
          <cell r="J63">
            <v>53.176176000000005</v>
          </cell>
        </row>
        <row r="64">
          <cell r="H64">
            <v>7891721016172</v>
          </cell>
          <cell r="I64">
            <v>0</v>
          </cell>
          <cell r="J64">
            <v>72.692964000000003</v>
          </cell>
        </row>
        <row r="65">
          <cell r="H65">
            <v>7891721270581</v>
          </cell>
          <cell r="I65">
            <v>0</v>
          </cell>
          <cell r="J65">
            <v>102.25505819041085</v>
          </cell>
        </row>
        <row r="66">
          <cell r="H66">
            <v>7891721270574</v>
          </cell>
          <cell r="I66">
            <v>0</v>
          </cell>
          <cell r="J66">
            <v>43.77869974159686</v>
          </cell>
        </row>
        <row r="67">
          <cell r="H67">
            <v>7891721274022</v>
          </cell>
          <cell r="I67">
            <v>0</v>
          </cell>
          <cell r="J67">
            <v>27.069672202030699</v>
          </cell>
        </row>
        <row r="68">
          <cell r="H68">
            <v>7891721238253</v>
          </cell>
          <cell r="I68">
            <v>0</v>
          </cell>
          <cell r="J68">
            <v>17.403304818454611</v>
          </cell>
        </row>
        <row r="69">
          <cell r="H69">
            <v>7891721022722</v>
          </cell>
          <cell r="I69">
            <v>0</v>
          </cell>
          <cell r="J69">
            <v>6.6491368438591865</v>
          </cell>
        </row>
        <row r="70">
          <cell r="H70">
            <v>7891721238123</v>
          </cell>
          <cell r="I70">
            <v>0</v>
          </cell>
          <cell r="J70">
            <v>9.3148731090039512</v>
          </cell>
        </row>
        <row r="71">
          <cell r="H71">
            <v>7891721238239</v>
          </cell>
          <cell r="I71">
            <v>0</v>
          </cell>
          <cell r="J71">
            <v>17.3222177837734</v>
          </cell>
        </row>
        <row r="72">
          <cell r="H72">
            <v>7891721025334</v>
          </cell>
          <cell r="I72">
            <v>0</v>
          </cell>
          <cell r="J72">
            <v>13.207050773702012</v>
          </cell>
        </row>
        <row r="73">
          <cell r="H73">
            <v>7891721027406</v>
          </cell>
          <cell r="I73">
            <v>0</v>
          </cell>
          <cell r="J73">
            <v>12.659713289603848</v>
          </cell>
        </row>
        <row r="74">
          <cell r="H74">
            <v>7891721238246</v>
          </cell>
          <cell r="I74">
            <v>0</v>
          </cell>
          <cell r="J74">
            <v>23.525375936885933</v>
          </cell>
        </row>
        <row r="75">
          <cell r="H75">
            <v>7891721274206</v>
          </cell>
          <cell r="I75">
            <v>0</v>
          </cell>
          <cell r="J75">
            <v>101.15509086021999</v>
          </cell>
        </row>
        <row r="76">
          <cell r="H76">
            <v>7891721273025</v>
          </cell>
          <cell r="I76">
            <v>0</v>
          </cell>
          <cell r="J76">
            <v>15.65</v>
          </cell>
        </row>
        <row r="77">
          <cell r="H77">
            <v>7891721200472</v>
          </cell>
          <cell r="I77">
            <v>0</v>
          </cell>
          <cell r="J77">
            <v>56.506893133805569</v>
          </cell>
        </row>
        <row r="78">
          <cell r="H78">
            <v>7891721023521</v>
          </cell>
          <cell r="I78">
            <v>0</v>
          </cell>
          <cell r="J78">
            <v>52.426008177914156</v>
          </cell>
        </row>
        <row r="79">
          <cell r="H79">
            <v>7891721023514</v>
          </cell>
          <cell r="I79">
            <v>0</v>
          </cell>
          <cell r="J79">
            <v>46.753849472779805</v>
          </cell>
        </row>
        <row r="80">
          <cell r="H80">
            <v>7891721031342</v>
          </cell>
          <cell r="I80">
            <v>0</v>
          </cell>
          <cell r="J80">
            <v>43.47</v>
          </cell>
        </row>
        <row r="81">
          <cell r="H81">
            <v>7891721031335</v>
          </cell>
          <cell r="I81">
            <v>0</v>
          </cell>
          <cell r="J81">
            <v>50.47</v>
          </cell>
        </row>
        <row r="82">
          <cell r="H82">
            <v>7891721025211</v>
          </cell>
          <cell r="I82">
            <v>0</v>
          </cell>
          <cell r="J82">
            <v>65.360652000000002</v>
          </cell>
        </row>
        <row r="83">
          <cell r="H83">
            <v>7891721025228</v>
          </cell>
          <cell r="I83">
            <v>0</v>
          </cell>
          <cell r="J83">
            <v>98.040977999999996</v>
          </cell>
        </row>
        <row r="84">
          <cell r="H84">
            <v>7891721070914</v>
          </cell>
          <cell r="I84">
            <v>0</v>
          </cell>
          <cell r="J84">
            <v>91.506974</v>
          </cell>
        </row>
        <row r="85">
          <cell r="H85">
            <v>7891721024917</v>
          </cell>
          <cell r="I85">
            <v>0</v>
          </cell>
          <cell r="J85">
            <v>40.945737999999999</v>
          </cell>
        </row>
        <row r="86">
          <cell r="H86">
            <v>7891721024924</v>
          </cell>
          <cell r="I86">
            <v>0</v>
          </cell>
          <cell r="J86">
            <v>61.413454000000002</v>
          </cell>
        </row>
        <row r="87">
          <cell r="H87">
            <v>7891721070600</v>
          </cell>
          <cell r="I87">
            <v>0</v>
          </cell>
          <cell r="J87">
            <v>57.332278000000002</v>
          </cell>
        </row>
        <row r="88">
          <cell r="H88">
            <v>7891721070655</v>
          </cell>
          <cell r="I88">
            <v>0</v>
          </cell>
          <cell r="J88">
            <v>66.030541999999997</v>
          </cell>
        </row>
        <row r="89">
          <cell r="H89">
            <v>7891721024979</v>
          </cell>
          <cell r="I89">
            <v>0</v>
          </cell>
          <cell r="J89">
            <v>47.160255999999997</v>
          </cell>
        </row>
        <row r="90">
          <cell r="H90">
            <v>7891721024986</v>
          </cell>
          <cell r="I90">
            <v>0</v>
          </cell>
          <cell r="J90">
            <v>70.740383999999992</v>
          </cell>
        </row>
        <row r="91">
          <cell r="H91">
            <v>7891721040115</v>
          </cell>
          <cell r="I91">
            <v>0</v>
          </cell>
          <cell r="J91">
            <v>33.010117999999999</v>
          </cell>
        </row>
        <row r="92">
          <cell r="H92">
            <v>7891721025099</v>
          </cell>
          <cell r="I92">
            <v>0</v>
          </cell>
          <cell r="J92">
            <v>57.352889999999995</v>
          </cell>
        </row>
        <row r="93">
          <cell r="H93">
            <v>7891721025105</v>
          </cell>
          <cell r="I93">
            <v>0</v>
          </cell>
          <cell r="J93">
            <v>86.034487999999996</v>
          </cell>
        </row>
        <row r="94">
          <cell r="H94">
            <v>7891721040122</v>
          </cell>
          <cell r="I94">
            <v>0</v>
          </cell>
          <cell r="J94">
            <v>40.141870000000004</v>
          </cell>
        </row>
        <row r="95">
          <cell r="H95">
            <v>7891721070785</v>
          </cell>
          <cell r="I95">
            <v>0</v>
          </cell>
          <cell r="J95">
            <v>80.304351999999994</v>
          </cell>
        </row>
        <row r="96">
          <cell r="H96">
            <v>7891721026676</v>
          </cell>
          <cell r="I96">
            <v>0</v>
          </cell>
          <cell r="J96">
            <v>72.421720000000008</v>
          </cell>
        </row>
        <row r="97">
          <cell r="H97">
            <v>7891721026706</v>
          </cell>
          <cell r="I97">
            <v>0</v>
          </cell>
          <cell r="J97">
            <v>71.458800000000011</v>
          </cell>
        </row>
        <row r="98">
          <cell r="H98">
            <v>7891721022630</v>
          </cell>
          <cell r="I98">
            <v>0</v>
          </cell>
          <cell r="J98">
            <v>422.60024800000002</v>
          </cell>
        </row>
        <row r="99">
          <cell r="H99">
            <v>7891721022623</v>
          </cell>
          <cell r="I99">
            <v>0</v>
          </cell>
          <cell r="J99">
            <v>232.95568800000004</v>
          </cell>
        </row>
        <row r="100">
          <cell r="H100">
            <v>7891721000164</v>
          </cell>
          <cell r="I100">
            <v>0</v>
          </cell>
          <cell r="J100">
            <v>23.2</v>
          </cell>
        </row>
        <row r="101">
          <cell r="H101">
            <v>7891721024474</v>
          </cell>
          <cell r="I101">
            <v>0</v>
          </cell>
          <cell r="J101">
            <v>9.1207032116088111</v>
          </cell>
        </row>
        <row r="102">
          <cell r="H102">
            <v>7891721024481</v>
          </cell>
          <cell r="I102">
            <v>0</v>
          </cell>
          <cell r="J102">
            <v>27.382721393496738</v>
          </cell>
        </row>
        <row r="103">
          <cell r="H103">
            <v>7891721010026</v>
          </cell>
          <cell r="I103">
            <v>0</v>
          </cell>
          <cell r="J103">
            <v>11.893123999999998</v>
          </cell>
        </row>
        <row r="104">
          <cell r="H104">
            <v>7891721015366</v>
          </cell>
          <cell r="I104">
            <v>0</v>
          </cell>
          <cell r="J104">
            <v>28.630068000000001</v>
          </cell>
        </row>
        <row r="105">
          <cell r="H105">
            <v>7891721200663</v>
          </cell>
          <cell r="I105">
            <v>0</v>
          </cell>
          <cell r="J105">
            <v>10.685396921854222</v>
          </cell>
        </row>
        <row r="106">
          <cell r="H106">
            <v>7891721104336</v>
          </cell>
          <cell r="I106">
            <v>0</v>
          </cell>
          <cell r="J106">
            <v>1</v>
          </cell>
        </row>
        <row r="107">
          <cell r="H107">
            <v>7891721238369</v>
          </cell>
          <cell r="I107">
            <v>0</v>
          </cell>
          <cell r="J107">
            <v>12.84</v>
          </cell>
        </row>
        <row r="108">
          <cell r="H108">
            <v>7891721021213</v>
          </cell>
          <cell r="I108">
            <v>0</v>
          </cell>
          <cell r="J108">
            <v>4397.4833280000003</v>
          </cell>
        </row>
        <row r="109">
          <cell r="H109">
            <v>7891721021220</v>
          </cell>
          <cell r="I109">
            <v>0</v>
          </cell>
          <cell r="J109">
            <v>879.52099200000009</v>
          </cell>
        </row>
        <row r="110">
          <cell r="H110">
            <v>7891721024641</v>
          </cell>
          <cell r="I110">
            <v>0</v>
          </cell>
          <cell r="J110">
            <v>38.222856</v>
          </cell>
        </row>
        <row r="111">
          <cell r="H111">
            <v>7891721000096</v>
          </cell>
          <cell r="I111">
            <v>0</v>
          </cell>
          <cell r="J111">
            <v>17.37</v>
          </cell>
        </row>
        <row r="112">
          <cell r="H112">
            <v>7891721024429</v>
          </cell>
          <cell r="I112">
            <v>0</v>
          </cell>
          <cell r="J112">
            <v>36.68</v>
          </cell>
        </row>
        <row r="113">
          <cell r="H113">
            <v>7891721024412</v>
          </cell>
          <cell r="I113">
            <v>0</v>
          </cell>
          <cell r="J113">
            <v>36.68</v>
          </cell>
        </row>
        <row r="114">
          <cell r="H114">
            <v>7891721024405</v>
          </cell>
          <cell r="I114">
            <v>0</v>
          </cell>
          <cell r="J114">
            <v>36.68</v>
          </cell>
        </row>
        <row r="115">
          <cell r="H115">
            <v>7891721012105</v>
          </cell>
          <cell r="I115">
            <v>0</v>
          </cell>
          <cell r="J115">
            <v>37.630000000000003</v>
          </cell>
        </row>
        <row r="116">
          <cell r="H116">
            <v>7891721014239</v>
          </cell>
          <cell r="I116">
            <v>0</v>
          </cell>
          <cell r="J116">
            <v>24.752112000000004</v>
          </cell>
        </row>
        <row r="117">
          <cell r="H117">
            <v>7891721014987</v>
          </cell>
          <cell r="I117">
            <v>0</v>
          </cell>
          <cell r="J117">
            <v>27.914543999999999</v>
          </cell>
        </row>
        <row r="118">
          <cell r="H118">
            <v>7891721014086</v>
          </cell>
          <cell r="I118">
            <v>0</v>
          </cell>
          <cell r="J118">
            <v>27.691552000000001</v>
          </cell>
        </row>
        <row r="119">
          <cell r="H119">
            <v>7891721015007</v>
          </cell>
          <cell r="I119">
            <v>0</v>
          </cell>
          <cell r="J119">
            <v>29.455216</v>
          </cell>
        </row>
        <row r="120">
          <cell r="H120">
            <v>7891721014130</v>
          </cell>
          <cell r="I120">
            <v>0</v>
          </cell>
          <cell r="J120">
            <v>29.698480000000004</v>
          </cell>
        </row>
        <row r="121">
          <cell r="H121">
            <v>7891721014185</v>
          </cell>
          <cell r="I121">
            <v>0</v>
          </cell>
          <cell r="J121">
            <v>33.398120000000006</v>
          </cell>
        </row>
        <row r="122">
          <cell r="H122">
            <v>7891721014796</v>
          </cell>
          <cell r="I122">
            <v>0</v>
          </cell>
          <cell r="J122">
            <v>36.763272000000008</v>
          </cell>
        </row>
        <row r="123">
          <cell r="H123">
            <v>7891721014642</v>
          </cell>
          <cell r="I123">
            <v>0</v>
          </cell>
          <cell r="J123">
            <v>18.944184000000003</v>
          </cell>
        </row>
        <row r="124">
          <cell r="H124">
            <v>7891721014697</v>
          </cell>
          <cell r="I124">
            <v>0</v>
          </cell>
          <cell r="J124">
            <v>21.701176</v>
          </cell>
        </row>
        <row r="125">
          <cell r="H125">
            <v>7891721014741</v>
          </cell>
          <cell r="I125">
            <v>0</v>
          </cell>
          <cell r="J125">
            <v>23.961504000000001</v>
          </cell>
        </row>
        <row r="126">
          <cell r="H126">
            <v>7891721014963</v>
          </cell>
          <cell r="I126">
            <v>0</v>
          </cell>
          <cell r="J126">
            <v>21.914032000000002</v>
          </cell>
        </row>
        <row r="127">
          <cell r="H127">
            <v>7891721270420</v>
          </cell>
          <cell r="I127">
            <v>0</v>
          </cell>
          <cell r="J127">
            <v>78.523592000000008</v>
          </cell>
        </row>
        <row r="128">
          <cell r="H128">
            <v>7891721270406</v>
          </cell>
          <cell r="I128">
            <v>0</v>
          </cell>
          <cell r="J128">
            <v>41.598144000000005</v>
          </cell>
        </row>
        <row r="129">
          <cell r="H129">
            <v>7891721275012</v>
          </cell>
          <cell r="I129">
            <v>0</v>
          </cell>
          <cell r="J129">
            <v>77.099186000000003</v>
          </cell>
        </row>
        <row r="130">
          <cell r="H130">
            <v>7891721023286</v>
          </cell>
          <cell r="I130">
            <v>0</v>
          </cell>
          <cell r="J130">
            <v>55.08</v>
          </cell>
        </row>
        <row r="131">
          <cell r="H131">
            <v>7891721000911</v>
          </cell>
          <cell r="I131">
            <v>0</v>
          </cell>
          <cell r="J131">
            <v>46.820157999999999</v>
          </cell>
        </row>
        <row r="132">
          <cell r="H132">
            <v>7891721000713</v>
          </cell>
          <cell r="I132">
            <v>0</v>
          </cell>
          <cell r="J132">
            <v>10.76</v>
          </cell>
        </row>
        <row r="133">
          <cell r="H133">
            <v>7891721000706</v>
          </cell>
          <cell r="I133">
            <v>0</v>
          </cell>
          <cell r="J133">
            <v>10.76</v>
          </cell>
        </row>
        <row r="134">
          <cell r="H134">
            <v>7891721022166</v>
          </cell>
          <cell r="I134">
            <v>0</v>
          </cell>
          <cell r="J134">
            <v>14.83</v>
          </cell>
        </row>
        <row r="135">
          <cell r="H135">
            <v>7891721022920</v>
          </cell>
          <cell r="I135">
            <v>0</v>
          </cell>
          <cell r="J135">
            <v>14.83</v>
          </cell>
        </row>
        <row r="136">
          <cell r="H136">
            <v>7891721024719</v>
          </cell>
          <cell r="I136">
            <v>0</v>
          </cell>
          <cell r="J136">
            <v>15.031509054029229</v>
          </cell>
        </row>
        <row r="137">
          <cell r="H137">
            <v>7891721016202</v>
          </cell>
          <cell r="I137">
            <v>0</v>
          </cell>
          <cell r="J137">
            <v>15.031509054029229</v>
          </cell>
        </row>
        <row r="138">
          <cell r="H138">
            <v>7891721016219</v>
          </cell>
          <cell r="I138">
            <v>0</v>
          </cell>
          <cell r="J138">
            <v>15.031509054029229</v>
          </cell>
        </row>
        <row r="139">
          <cell r="H139">
            <v>7891721023439</v>
          </cell>
          <cell r="I139">
            <v>0</v>
          </cell>
          <cell r="J139">
            <v>15.031509054029229</v>
          </cell>
        </row>
        <row r="140">
          <cell r="H140">
            <v>7891721016226</v>
          </cell>
          <cell r="I140">
            <v>0</v>
          </cell>
          <cell r="J140">
            <v>15.031509054029229</v>
          </cell>
        </row>
        <row r="141">
          <cell r="H141">
            <v>7891721016233</v>
          </cell>
          <cell r="I141">
            <v>0</v>
          </cell>
          <cell r="J141">
            <v>15.54</v>
          </cell>
        </row>
        <row r="142">
          <cell r="H142">
            <v>7891721024726</v>
          </cell>
          <cell r="I142">
            <v>0</v>
          </cell>
          <cell r="J142">
            <v>15.751156486824962</v>
          </cell>
        </row>
        <row r="143">
          <cell r="H143">
            <v>7891721022937</v>
          </cell>
          <cell r="I143">
            <v>0</v>
          </cell>
          <cell r="J143">
            <v>15.751156486824962</v>
          </cell>
        </row>
        <row r="144">
          <cell r="H144">
            <v>7891721030413</v>
          </cell>
          <cell r="I144">
            <v>0</v>
          </cell>
          <cell r="J144">
            <v>29.677854693322711</v>
          </cell>
        </row>
        <row r="145">
          <cell r="H145">
            <v>7891721020933</v>
          </cell>
          <cell r="I145">
            <v>0</v>
          </cell>
          <cell r="J145">
            <v>29.3</v>
          </cell>
        </row>
        <row r="146">
          <cell r="H146">
            <v>7891721021046</v>
          </cell>
          <cell r="I146">
            <v>0</v>
          </cell>
          <cell r="J146">
            <v>33.377450650652897</v>
          </cell>
        </row>
        <row r="147">
          <cell r="H147">
            <v>7891721021039</v>
          </cell>
          <cell r="I147">
            <v>0</v>
          </cell>
          <cell r="J147">
            <v>66.765037180640945</v>
          </cell>
        </row>
        <row r="148">
          <cell r="H148">
            <v>7891721020940</v>
          </cell>
          <cell r="I148">
            <v>0</v>
          </cell>
          <cell r="J148">
            <v>29.3</v>
          </cell>
        </row>
        <row r="149">
          <cell r="H149">
            <v>7891721019067</v>
          </cell>
          <cell r="I149">
            <v>0</v>
          </cell>
          <cell r="J149">
            <v>31.765845836363859</v>
          </cell>
        </row>
        <row r="150">
          <cell r="H150">
            <v>7891721019074</v>
          </cell>
          <cell r="I150">
            <v>0</v>
          </cell>
          <cell r="J150">
            <v>63.501284034722261</v>
          </cell>
        </row>
        <row r="151">
          <cell r="H151">
            <v>7891721018893</v>
          </cell>
          <cell r="I151">
            <v>0</v>
          </cell>
          <cell r="J151">
            <v>109.72089380301173</v>
          </cell>
        </row>
        <row r="152">
          <cell r="H152">
            <v>7891721000126</v>
          </cell>
          <cell r="I152">
            <v>0</v>
          </cell>
          <cell r="J152">
            <v>21.356297759163578</v>
          </cell>
        </row>
        <row r="153">
          <cell r="H153">
            <v>7891721001970</v>
          </cell>
          <cell r="I153">
            <v>0</v>
          </cell>
          <cell r="J153">
            <v>26.302606874717359</v>
          </cell>
        </row>
        <row r="154">
          <cell r="H154">
            <v>7891721026546</v>
          </cell>
          <cell r="I154">
            <v>0</v>
          </cell>
          <cell r="J154">
            <v>45.04</v>
          </cell>
        </row>
        <row r="155">
          <cell r="H155">
            <v>7891721026478</v>
          </cell>
          <cell r="I155">
            <v>0</v>
          </cell>
          <cell r="J155">
            <v>61.01</v>
          </cell>
        </row>
        <row r="156">
          <cell r="H156">
            <v>7891721020971</v>
          </cell>
          <cell r="I156">
            <v>0</v>
          </cell>
          <cell r="J156">
            <v>36.61</v>
          </cell>
        </row>
        <row r="157">
          <cell r="H157">
            <v>7891721026539</v>
          </cell>
          <cell r="I157">
            <v>0</v>
          </cell>
          <cell r="J157">
            <v>30.94</v>
          </cell>
        </row>
        <row r="158">
          <cell r="H158">
            <v>7891721015502</v>
          </cell>
          <cell r="I158">
            <v>0</v>
          </cell>
          <cell r="J158">
            <v>39.588804000000003</v>
          </cell>
        </row>
        <row r="159">
          <cell r="H159">
            <v>7891721015496</v>
          </cell>
          <cell r="I159">
            <v>0</v>
          </cell>
          <cell r="J159">
            <v>20.417724</v>
          </cell>
        </row>
        <row r="160">
          <cell r="H160">
            <v>7891721044137</v>
          </cell>
          <cell r="I160">
            <v>0</v>
          </cell>
          <cell r="J160">
            <v>28.451752000000003</v>
          </cell>
        </row>
        <row r="161">
          <cell r="H161">
            <v>7891721000614</v>
          </cell>
          <cell r="I161">
            <v>0</v>
          </cell>
          <cell r="J161">
            <v>14.920192000000002</v>
          </cell>
        </row>
        <row r="162">
          <cell r="H162">
            <v>7891721027437</v>
          </cell>
          <cell r="I162">
            <v>0</v>
          </cell>
          <cell r="J162">
            <v>20.038872000000001</v>
          </cell>
        </row>
        <row r="163">
          <cell r="H163">
            <v>7891721022562</v>
          </cell>
          <cell r="I163">
            <v>0</v>
          </cell>
          <cell r="J163">
            <v>9.27</v>
          </cell>
        </row>
        <row r="164">
          <cell r="H164">
            <v>7891721022579</v>
          </cell>
          <cell r="I164">
            <v>0</v>
          </cell>
          <cell r="J164">
            <v>28.218624000000002</v>
          </cell>
        </row>
        <row r="165">
          <cell r="H165">
            <v>7891721027468</v>
          </cell>
          <cell r="I165">
            <v>0</v>
          </cell>
          <cell r="J165">
            <v>10.237360000000001</v>
          </cell>
        </row>
        <row r="166">
          <cell r="H166">
            <v>7891721027444</v>
          </cell>
          <cell r="I166">
            <v>0</v>
          </cell>
          <cell r="J166">
            <v>6.770848</v>
          </cell>
        </row>
        <row r="167">
          <cell r="H167">
            <v>7891721027451</v>
          </cell>
          <cell r="I167">
            <v>0</v>
          </cell>
          <cell r="J167">
            <v>20.312543999999999</v>
          </cell>
        </row>
        <row r="168">
          <cell r="H168">
            <v>7891721200014</v>
          </cell>
          <cell r="I168">
            <v>0</v>
          </cell>
          <cell r="J168">
            <v>18.437218130585499</v>
          </cell>
        </row>
        <row r="169">
          <cell r="H169">
            <v>7891721200045</v>
          </cell>
          <cell r="I169">
            <v>0</v>
          </cell>
          <cell r="J169">
            <v>32.030672973649928</v>
          </cell>
        </row>
        <row r="170">
          <cell r="H170">
            <v>7891721200076</v>
          </cell>
          <cell r="I170">
            <v>0</v>
          </cell>
          <cell r="J170">
            <v>55.558995495800119</v>
          </cell>
        </row>
        <row r="171">
          <cell r="H171">
            <v>7891721025839</v>
          </cell>
          <cell r="I171">
            <v>0</v>
          </cell>
          <cell r="J171">
            <v>48.784568000000007</v>
          </cell>
        </row>
        <row r="172">
          <cell r="H172">
            <v>7891721026607</v>
          </cell>
          <cell r="I172">
            <v>0</v>
          </cell>
          <cell r="J172">
            <v>10.886064000000001</v>
          </cell>
        </row>
        <row r="173">
          <cell r="H173">
            <v>7891721026614</v>
          </cell>
          <cell r="I173">
            <v>0</v>
          </cell>
          <cell r="J173">
            <v>21.863352000000003</v>
          </cell>
        </row>
        <row r="174">
          <cell r="H174">
            <v>7891721016639</v>
          </cell>
          <cell r="I174">
            <v>0</v>
          </cell>
          <cell r="J174">
            <v>7.18</v>
          </cell>
        </row>
        <row r="175">
          <cell r="H175">
            <v>7891721026621</v>
          </cell>
          <cell r="I175">
            <v>0</v>
          </cell>
          <cell r="J175">
            <v>28.390936000000004</v>
          </cell>
        </row>
        <row r="176">
          <cell r="H176">
            <v>7891721026652</v>
          </cell>
          <cell r="I176">
            <v>0</v>
          </cell>
          <cell r="J176">
            <v>9.4670240000000003</v>
          </cell>
        </row>
        <row r="177">
          <cell r="H177">
            <v>7891721026072</v>
          </cell>
          <cell r="I177">
            <v>0</v>
          </cell>
          <cell r="J177">
            <v>691.08</v>
          </cell>
        </row>
        <row r="178">
          <cell r="H178">
            <v>7891721027802</v>
          </cell>
          <cell r="I178">
            <v>0</v>
          </cell>
          <cell r="J178">
            <v>700.47868800000003</v>
          </cell>
        </row>
        <row r="179">
          <cell r="H179">
            <v>7891721027819</v>
          </cell>
          <cell r="I179">
            <v>0</v>
          </cell>
          <cell r="J179">
            <v>1050.7484400000001</v>
          </cell>
        </row>
        <row r="180">
          <cell r="H180">
            <v>7891721026089</v>
          </cell>
          <cell r="I180">
            <v>0</v>
          </cell>
          <cell r="J180">
            <v>1036.6500000000001</v>
          </cell>
        </row>
        <row r="181">
          <cell r="H181">
            <v>7891721026027</v>
          </cell>
          <cell r="I181">
            <v>0</v>
          </cell>
          <cell r="J181">
            <v>175.11967200000001</v>
          </cell>
        </row>
        <row r="182">
          <cell r="H182">
            <v>7891721026096</v>
          </cell>
          <cell r="I182">
            <v>0</v>
          </cell>
          <cell r="J182">
            <v>2073.29</v>
          </cell>
        </row>
        <row r="183">
          <cell r="H183">
            <v>7891721027826</v>
          </cell>
          <cell r="I183">
            <v>0</v>
          </cell>
          <cell r="J183">
            <v>2101.4867440000003</v>
          </cell>
        </row>
        <row r="184">
          <cell r="H184">
            <v>7891721023729</v>
          </cell>
          <cell r="I184">
            <v>0</v>
          </cell>
          <cell r="J184">
            <v>36.549999999999997</v>
          </cell>
        </row>
        <row r="185">
          <cell r="H185">
            <v>7891721023736</v>
          </cell>
          <cell r="I185">
            <v>0</v>
          </cell>
          <cell r="J185">
            <v>73.09</v>
          </cell>
        </row>
        <row r="186">
          <cell r="H186">
            <v>7891721023743</v>
          </cell>
          <cell r="I186">
            <v>0</v>
          </cell>
          <cell r="J186">
            <v>146.19</v>
          </cell>
        </row>
        <row r="187">
          <cell r="H187">
            <v>7891721023873</v>
          </cell>
          <cell r="I187">
            <v>0</v>
          </cell>
          <cell r="J187">
            <v>36.549999999999997</v>
          </cell>
        </row>
        <row r="188">
          <cell r="H188">
            <v>7891721023903</v>
          </cell>
          <cell r="I188">
            <v>0</v>
          </cell>
          <cell r="J188">
            <v>146.19</v>
          </cell>
        </row>
        <row r="189">
          <cell r="H189">
            <v>7891721023637</v>
          </cell>
          <cell r="I189">
            <v>0</v>
          </cell>
          <cell r="J189">
            <v>36.549999999999997</v>
          </cell>
        </row>
        <row r="190">
          <cell r="H190">
            <v>7891721023668</v>
          </cell>
          <cell r="I190">
            <v>0</v>
          </cell>
          <cell r="J190">
            <v>146.19</v>
          </cell>
        </row>
        <row r="191">
          <cell r="H191">
            <v>7891721023774</v>
          </cell>
          <cell r="I191">
            <v>0</v>
          </cell>
          <cell r="J191">
            <v>36.549999999999997</v>
          </cell>
        </row>
        <row r="192">
          <cell r="H192">
            <v>7891721023804</v>
          </cell>
          <cell r="I192">
            <v>0</v>
          </cell>
          <cell r="J192">
            <v>146.19</v>
          </cell>
        </row>
        <row r="193">
          <cell r="H193">
            <v>7891721025259</v>
          </cell>
          <cell r="I193">
            <v>0</v>
          </cell>
          <cell r="J193">
            <v>12073.1</v>
          </cell>
        </row>
        <row r="194">
          <cell r="H194">
            <v>7891721025266</v>
          </cell>
          <cell r="I194">
            <v>0</v>
          </cell>
          <cell r="J194">
            <v>24146.18</v>
          </cell>
        </row>
        <row r="195">
          <cell r="H195">
            <v>7891721025242</v>
          </cell>
          <cell r="I195">
            <v>0</v>
          </cell>
          <cell r="J195">
            <v>3018.27</v>
          </cell>
        </row>
        <row r="196">
          <cell r="H196">
            <v>7891721019999</v>
          </cell>
          <cell r="I196">
            <v>0</v>
          </cell>
          <cell r="J196">
            <v>5.5341901169925549</v>
          </cell>
        </row>
        <row r="197">
          <cell r="H197">
            <v>7891721020049</v>
          </cell>
          <cell r="I197">
            <v>0</v>
          </cell>
          <cell r="J197">
            <v>10.885934405952387</v>
          </cell>
        </row>
        <row r="198">
          <cell r="H198">
            <v>7891721020094</v>
          </cell>
          <cell r="I198">
            <v>0</v>
          </cell>
          <cell r="J198">
            <v>8.1188393474561096</v>
          </cell>
        </row>
        <row r="199">
          <cell r="H199">
            <v>7891721020148</v>
          </cell>
          <cell r="I199">
            <v>0</v>
          </cell>
          <cell r="J199">
            <v>8.7472638662354854</v>
          </cell>
        </row>
        <row r="200">
          <cell r="H200">
            <v>7891721020193</v>
          </cell>
          <cell r="I200">
            <v>0</v>
          </cell>
          <cell r="J200">
            <v>11.037972595979657</v>
          </cell>
        </row>
        <row r="201">
          <cell r="H201">
            <v>7891721020247</v>
          </cell>
          <cell r="I201">
            <v>0</v>
          </cell>
          <cell r="J201">
            <v>19.085860788089704</v>
          </cell>
        </row>
        <row r="202">
          <cell r="H202">
            <v>7891721019791</v>
          </cell>
          <cell r="I202">
            <v>0</v>
          </cell>
          <cell r="J202">
            <v>5.8686741350525438</v>
          </cell>
        </row>
        <row r="203">
          <cell r="H203">
            <v>7891721019845</v>
          </cell>
          <cell r="I203">
            <v>0</v>
          </cell>
          <cell r="J203">
            <v>6.50723453316707</v>
          </cell>
        </row>
        <row r="204">
          <cell r="H204">
            <v>7891721019890</v>
          </cell>
          <cell r="I204">
            <v>0</v>
          </cell>
          <cell r="J204">
            <v>7.1052514139409899</v>
          </cell>
        </row>
        <row r="205">
          <cell r="H205">
            <v>7891721019944</v>
          </cell>
          <cell r="I205">
            <v>0</v>
          </cell>
          <cell r="J205">
            <v>8.5546821588676121</v>
          </cell>
        </row>
        <row r="206">
          <cell r="H206">
            <v>7891721238468</v>
          </cell>
          <cell r="I206">
            <v>0</v>
          </cell>
          <cell r="J206">
            <v>18.43</v>
          </cell>
        </row>
        <row r="207">
          <cell r="H207">
            <v>7891721270505</v>
          </cell>
          <cell r="I207">
            <v>0</v>
          </cell>
          <cell r="J207">
            <v>26.263029493224057</v>
          </cell>
        </row>
        <row r="208">
          <cell r="H208">
            <v>7891721200311</v>
          </cell>
          <cell r="I208">
            <v>0</v>
          </cell>
          <cell r="J208">
            <v>5.92</v>
          </cell>
        </row>
        <row r="209">
          <cell r="H209">
            <v>7891721200335</v>
          </cell>
          <cell r="I209">
            <v>0</v>
          </cell>
          <cell r="J209">
            <v>8.25</v>
          </cell>
        </row>
        <row r="210">
          <cell r="H210">
            <v>7891721238567</v>
          </cell>
          <cell r="I210">
            <v>0</v>
          </cell>
          <cell r="J210">
            <v>30.128628967894851</v>
          </cell>
        </row>
        <row r="211">
          <cell r="H211">
            <v>7891721025501</v>
          </cell>
          <cell r="I211">
            <v>0</v>
          </cell>
          <cell r="J211">
            <v>63.59</v>
          </cell>
        </row>
        <row r="212">
          <cell r="H212">
            <v>7891721013362</v>
          </cell>
          <cell r="I212">
            <v>0</v>
          </cell>
          <cell r="J212">
            <v>24.828120000000002</v>
          </cell>
        </row>
        <row r="213">
          <cell r="H213">
            <v>7891721021190</v>
          </cell>
          <cell r="I213">
            <v>0</v>
          </cell>
          <cell r="J213">
            <v>8.2760400000000018</v>
          </cell>
        </row>
        <row r="214">
          <cell r="H214">
            <v>7891721021121</v>
          </cell>
          <cell r="I214">
            <v>0</v>
          </cell>
          <cell r="J214">
            <v>32.36</v>
          </cell>
        </row>
        <row r="215">
          <cell r="H215">
            <v>7891721023606</v>
          </cell>
          <cell r="I215">
            <v>0</v>
          </cell>
          <cell r="J215">
            <v>128.97046399999999</v>
          </cell>
        </row>
        <row r="216">
          <cell r="H216">
            <v>7891721238413</v>
          </cell>
          <cell r="I216">
            <v>0</v>
          </cell>
          <cell r="J216">
            <v>9.2200000000000006</v>
          </cell>
        </row>
        <row r="217">
          <cell r="H217">
            <v>7891721238420</v>
          </cell>
          <cell r="I217">
            <v>0</v>
          </cell>
          <cell r="J217">
            <v>19.71</v>
          </cell>
        </row>
        <row r="218">
          <cell r="H218">
            <v>7891721238086</v>
          </cell>
          <cell r="I218">
            <v>0</v>
          </cell>
          <cell r="J218">
            <v>26.242077734553753</v>
          </cell>
        </row>
        <row r="219">
          <cell r="H219">
            <v>7891721238079</v>
          </cell>
          <cell r="I219">
            <v>0</v>
          </cell>
          <cell r="J219">
            <v>14.006250671097153</v>
          </cell>
        </row>
        <row r="220">
          <cell r="H220">
            <v>7891721016752</v>
          </cell>
          <cell r="I220">
            <v>0</v>
          </cell>
          <cell r="J220">
            <v>41.12</v>
          </cell>
        </row>
        <row r="221">
          <cell r="H221">
            <v>7891721023545</v>
          </cell>
          <cell r="I221">
            <v>0</v>
          </cell>
          <cell r="J221">
            <v>20.694447999999998</v>
          </cell>
        </row>
        <row r="222">
          <cell r="H222">
            <v>7891721016851</v>
          </cell>
          <cell r="I222">
            <v>0</v>
          </cell>
          <cell r="J222">
            <v>61.71</v>
          </cell>
        </row>
        <row r="223">
          <cell r="H223">
            <v>7891721023576</v>
          </cell>
          <cell r="I223">
            <v>0</v>
          </cell>
          <cell r="J223">
            <v>41.141551999999997</v>
          </cell>
        </row>
        <row r="224">
          <cell r="H224">
            <v>7891721023491</v>
          </cell>
          <cell r="I224">
            <v>0</v>
          </cell>
          <cell r="J224">
            <v>32.401684629715376</v>
          </cell>
        </row>
        <row r="225">
          <cell r="H225">
            <v>7891721023507</v>
          </cell>
          <cell r="I225">
            <v>0</v>
          </cell>
          <cell r="J225">
            <v>88.424444695597288</v>
          </cell>
        </row>
        <row r="226">
          <cell r="H226">
            <v>7891721000027</v>
          </cell>
          <cell r="I226">
            <v>0</v>
          </cell>
          <cell r="J226">
            <v>1</v>
          </cell>
        </row>
        <row r="227">
          <cell r="H227">
            <v>7891721000010</v>
          </cell>
          <cell r="I227">
            <v>0</v>
          </cell>
          <cell r="J227">
            <v>1</v>
          </cell>
        </row>
        <row r="228">
          <cell r="H228">
            <v>7891721000270</v>
          </cell>
          <cell r="I228">
            <v>0</v>
          </cell>
          <cell r="J228">
            <v>5.63</v>
          </cell>
        </row>
        <row r="229">
          <cell r="H229">
            <v>7891721000607</v>
          </cell>
          <cell r="I229">
            <v>0</v>
          </cell>
          <cell r="J229">
            <v>5.98</v>
          </cell>
        </row>
        <row r="230">
          <cell r="H230">
            <v>7891721027963</v>
          </cell>
          <cell r="I230">
            <v>0</v>
          </cell>
          <cell r="J230">
            <v>312.52328799999998</v>
          </cell>
        </row>
        <row r="231">
          <cell r="H231">
            <v>7898106035421</v>
          </cell>
          <cell r="I231">
            <v>0</v>
          </cell>
          <cell r="J231">
            <v>308.33</v>
          </cell>
        </row>
        <row r="232">
          <cell r="H232">
            <v>7891721200144</v>
          </cell>
          <cell r="I232">
            <v>0</v>
          </cell>
          <cell r="J232">
            <v>26.503974717932536</v>
          </cell>
        </row>
        <row r="233">
          <cell r="H233">
            <v>7891721200151</v>
          </cell>
          <cell r="I233">
            <v>0</v>
          </cell>
          <cell r="J233">
            <v>49.990896187341519</v>
          </cell>
        </row>
        <row r="234">
          <cell r="H234">
            <v>7891721200137</v>
          </cell>
          <cell r="I234">
            <v>0</v>
          </cell>
          <cell r="J234">
            <v>12.84342806489537</v>
          </cell>
        </row>
        <row r="235">
          <cell r="H235">
            <v>7891721200175</v>
          </cell>
          <cell r="I235">
            <v>0</v>
          </cell>
          <cell r="J235">
            <v>47.204312284191303</v>
          </cell>
        </row>
        <row r="236">
          <cell r="H236">
            <v>7891721200182</v>
          </cell>
          <cell r="I236">
            <v>0</v>
          </cell>
          <cell r="J236">
            <v>88.11262108795674</v>
          </cell>
        </row>
        <row r="237">
          <cell r="H237">
            <v>7891721200168</v>
          </cell>
          <cell r="I237">
            <v>0</v>
          </cell>
          <cell r="J237">
            <v>22.80598931262416</v>
          </cell>
        </row>
        <row r="238">
          <cell r="H238">
            <v>7891721238352</v>
          </cell>
          <cell r="I238">
            <v>0</v>
          </cell>
          <cell r="J238">
            <v>1</v>
          </cell>
        </row>
        <row r="239">
          <cell r="H239">
            <v>7891721238345</v>
          </cell>
          <cell r="I239">
            <v>0</v>
          </cell>
          <cell r="J239">
            <v>1</v>
          </cell>
        </row>
        <row r="240">
          <cell r="H240">
            <v>7891721024030</v>
          </cell>
          <cell r="I240">
            <v>0</v>
          </cell>
          <cell r="J240">
            <v>282.36868800000002</v>
          </cell>
        </row>
        <row r="241">
          <cell r="H241">
            <v>7891721019739</v>
          </cell>
          <cell r="I241">
            <v>0</v>
          </cell>
          <cell r="J241">
            <v>39.148361075460031</v>
          </cell>
        </row>
        <row r="242">
          <cell r="H242">
            <v>7891721019753</v>
          </cell>
          <cell r="I242">
            <v>0</v>
          </cell>
          <cell r="J242">
            <v>57.847805688704923</v>
          </cell>
        </row>
        <row r="243">
          <cell r="H243">
            <v>7891721019777</v>
          </cell>
          <cell r="I243">
            <v>0</v>
          </cell>
          <cell r="J243">
            <v>115.69561137740985</v>
          </cell>
        </row>
        <row r="244">
          <cell r="H244">
            <v>7891721028120</v>
          </cell>
          <cell r="I244">
            <v>0</v>
          </cell>
          <cell r="J244">
            <v>96.231427572698919</v>
          </cell>
        </row>
        <row r="245">
          <cell r="H245">
            <v>7891721028113</v>
          </cell>
          <cell r="I245">
            <v>0</v>
          </cell>
          <cell r="J245">
            <v>62.760993096890829</v>
          </cell>
        </row>
        <row r="246">
          <cell r="H246">
            <v>7891721028144</v>
          </cell>
          <cell r="I246">
            <v>0</v>
          </cell>
          <cell r="J246">
            <v>83.912760000000006</v>
          </cell>
        </row>
        <row r="247">
          <cell r="H247">
            <v>7891721028137</v>
          </cell>
          <cell r="I247">
            <v>0</v>
          </cell>
          <cell r="J247">
            <v>54.716148000000004</v>
          </cell>
        </row>
        <row r="248">
          <cell r="H248">
            <v>7891721238390</v>
          </cell>
          <cell r="I248">
            <v>0</v>
          </cell>
          <cell r="J248">
            <v>10.9</v>
          </cell>
        </row>
        <row r="249">
          <cell r="H249">
            <v>7891721238383</v>
          </cell>
          <cell r="I249">
            <v>0</v>
          </cell>
          <cell r="J249">
            <v>11.24</v>
          </cell>
        </row>
        <row r="250">
          <cell r="H250">
            <v>7891721238406</v>
          </cell>
          <cell r="I250">
            <v>0</v>
          </cell>
          <cell r="J250">
            <v>16.28</v>
          </cell>
        </row>
        <row r="251">
          <cell r="H251">
            <v>7891721000720</v>
          </cell>
          <cell r="I251">
            <v>0</v>
          </cell>
          <cell r="J251">
            <v>40.32</v>
          </cell>
        </row>
        <row r="252">
          <cell r="H252">
            <v>7891721000737</v>
          </cell>
          <cell r="I252">
            <v>0</v>
          </cell>
          <cell r="J252">
            <v>38.530728000000003</v>
          </cell>
        </row>
        <row r="253">
          <cell r="H253">
            <v>7891721024306</v>
          </cell>
          <cell r="I253">
            <v>0</v>
          </cell>
          <cell r="J253">
            <v>9824.75</v>
          </cell>
        </row>
        <row r="254">
          <cell r="H254">
            <v>7891721027512</v>
          </cell>
          <cell r="I254">
            <v>0</v>
          </cell>
          <cell r="J254">
            <v>8635.85</v>
          </cell>
        </row>
        <row r="255">
          <cell r="H255">
            <v>7891721022418</v>
          </cell>
          <cell r="I255">
            <v>0</v>
          </cell>
          <cell r="J255">
            <v>8753.2975600000009</v>
          </cell>
        </row>
        <row r="256">
          <cell r="H256">
            <v>7891721027529</v>
          </cell>
          <cell r="I256">
            <v>0</v>
          </cell>
          <cell r="J256">
            <v>9824.75</v>
          </cell>
        </row>
        <row r="257">
          <cell r="H257">
            <v>7891721022425</v>
          </cell>
          <cell r="I257">
            <v>0</v>
          </cell>
          <cell r="J257">
            <v>9958.3666000000012</v>
          </cell>
        </row>
        <row r="258">
          <cell r="H258">
            <v>7891721024290</v>
          </cell>
          <cell r="I258">
            <v>0</v>
          </cell>
          <cell r="J258">
            <v>8635.85</v>
          </cell>
        </row>
        <row r="259">
          <cell r="H259">
            <v>7891721201219</v>
          </cell>
          <cell r="I259">
            <v>0</v>
          </cell>
          <cell r="J259">
            <v>37.22079927779221</v>
          </cell>
        </row>
        <row r="260">
          <cell r="H260">
            <v>7891721201233</v>
          </cell>
          <cell r="I260">
            <v>0</v>
          </cell>
          <cell r="J260">
            <v>47.047174094164035</v>
          </cell>
        </row>
        <row r="261">
          <cell r="H261">
            <v>7891721201257</v>
          </cell>
          <cell r="I261">
            <v>0</v>
          </cell>
          <cell r="J261">
            <v>99.688467753298809</v>
          </cell>
        </row>
        <row r="262">
          <cell r="H262">
            <v>7891721012976</v>
          </cell>
          <cell r="I262">
            <v>0</v>
          </cell>
          <cell r="J262">
            <v>28.871856000000001</v>
          </cell>
        </row>
        <row r="263">
          <cell r="H263">
            <v>7891721001932</v>
          </cell>
          <cell r="I263">
            <v>0</v>
          </cell>
          <cell r="J263">
            <v>9.7426800000000018</v>
          </cell>
        </row>
        <row r="264">
          <cell r="H264">
            <v>7891721012969</v>
          </cell>
          <cell r="I264">
            <v>0</v>
          </cell>
          <cell r="J264">
            <v>14.603544000000001</v>
          </cell>
        </row>
        <row r="265">
          <cell r="H265">
            <v>7891721022463</v>
          </cell>
          <cell r="I265">
            <v>0</v>
          </cell>
          <cell r="J265">
            <v>120.75</v>
          </cell>
        </row>
        <row r="266">
          <cell r="H266">
            <v>7891721026263</v>
          </cell>
          <cell r="I266">
            <v>0</v>
          </cell>
          <cell r="J266">
            <v>539.35</v>
          </cell>
        </row>
        <row r="267">
          <cell r="H267">
            <v>7891721022470</v>
          </cell>
          <cell r="I267">
            <v>0</v>
          </cell>
          <cell r="J267">
            <v>711.95</v>
          </cell>
        </row>
        <row r="268">
          <cell r="H268">
            <v>7891721026270</v>
          </cell>
          <cell r="I268">
            <v>0</v>
          </cell>
          <cell r="J268">
            <v>1078.7</v>
          </cell>
        </row>
        <row r="269">
          <cell r="H269">
            <v>7891721026287</v>
          </cell>
          <cell r="I269">
            <v>0</v>
          </cell>
          <cell r="J269">
            <v>1797.83</v>
          </cell>
        </row>
        <row r="270">
          <cell r="H270">
            <v>7891721022449</v>
          </cell>
          <cell r="I270">
            <v>0</v>
          </cell>
          <cell r="J270">
            <v>38.060679999999998</v>
          </cell>
        </row>
        <row r="271">
          <cell r="H271">
            <v>7891721022456</v>
          </cell>
          <cell r="I271">
            <v>0</v>
          </cell>
          <cell r="J271">
            <v>100.80252000000002</v>
          </cell>
        </row>
        <row r="272">
          <cell r="H272">
            <v>7891721238260</v>
          </cell>
          <cell r="I272">
            <v>0</v>
          </cell>
          <cell r="J272">
            <v>9.98</v>
          </cell>
        </row>
        <row r="273">
          <cell r="H273">
            <v>7891721028441</v>
          </cell>
          <cell r="I273">
            <v>0</v>
          </cell>
          <cell r="J273">
            <v>10.716824559859678</v>
          </cell>
        </row>
        <row r="274">
          <cell r="H274">
            <v>7891721028458</v>
          </cell>
          <cell r="I274">
            <v>0</v>
          </cell>
          <cell r="J274">
            <v>21.025089825648458</v>
          </cell>
        </row>
        <row r="275">
          <cell r="H275">
            <v>7891721028472</v>
          </cell>
          <cell r="I275">
            <v>0</v>
          </cell>
          <cell r="J275">
            <v>40.814025889749075</v>
          </cell>
        </row>
        <row r="276">
          <cell r="H276">
            <v>7891721028496</v>
          </cell>
          <cell r="I276">
            <v>0</v>
          </cell>
          <cell r="J276">
            <v>48.953784133161548</v>
          </cell>
        </row>
        <row r="277">
          <cell r="H277">
            <v>7891721022555</v>
          </cell>
          <cell r="I277">
            <v>0</v>
          </cell>
          <cell r="J277">
            <v>793.18254400000001</v>
          </cell>
        </row>
        <row r="278">
          <cell r="H278">
            <v>7891721238475</v>
          </cell>
          <cell r="I278">
            <v>0</v>
          </cell>
          <cell r="J278">
            <v>7.08</v>
          </cell>
        </row>
        <row r="279">
          <cell r="H279">
            <v>7891721017261</v>
          </cell>
          <cell r="I279">
            <v>0</v>
          </cell>
          <cell r="J279">
            <v>111.44532000000001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PREÇOS2001"/>
    </sheetNames>
    <definedNames>
      <definedName name="Macro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9"/>
  <sheetViews>
    <sheetView workbookViewId="0">
      <selection activeCell="E9" sqref="E9"/>
    </sheetView>
  </sheetViews>
  <sheetFormatPr defaultColWidth="13.42578125" defaultRowHeight="12.75"/>
  <cols>
    <col min="1" max="1" width="14.140625" style="697" bestFit="1" customWidth="1"/>
    <col min="2" max="2" width="15" style="97" customWidth="1"/>
    <col min="3" max="3" width="12.28515625" style="97" customWidth="1"/>
    <col min="4" max="4" width="82.28515625" style="98" customWidth="1"/>
    <col min="5" max="5" width="8.42578125" style="98" bestFit="1" customWidth="1"/>
    <col min="6" max="6" width="8.42578125" style="98" hidden="1" customWidth="1"/>
    <col min="7" max="7" width="11.28515625" style="98" hidden="1" customWidth="1"/>
    <col min="8" max="8" width="7.85546875" style="89" bestFit="1" customWidth="1"/>
    <col min="9" max="10" width="7.85546875" style="89" hidden="1" customWidth="1"/>
    <col min="11" max="11" width="8.42578125" style="95" customWidth="1"/>
    <col min="12" max="13" width="8.42578125" style="95" hidden="1" customWidth="1"/>
    <col min="14" max="14" width="7.85546875" style="89" customWidth="1"/>
    <col min="15" max="16" width="7.85546875" style="89" hidden="1" customWidth="1"/>
    <col min="17" max="17" width="8.7109375" style="96" customWidth="1"/>
    <col min="18" max="19" width="8.7109375" style="96" hidden="1" customWidth="1"/>
    <col min="20" max="20" width="7.85546875" style="89" customWidth="1"/>
    <col min="21" max="22" width="7.85546875" style="89" hidden="1" customWidth="1"/>
    <col min="23" max="23" width="10.28515625" style="96" customWidth="1"/>
    <col min="24" max="25" width="10.28515625" style="96" hidden="1" customWidth="1"/>
    <col min="26" max="26" width="7.85546875" style="89" customWidth="1"/>
    <col min="27" max="28" width="7.85546875" style="89" hidden="1" customWidth="1"/>
    <col min="29" max="29" width="10.28515625" style="96" customWidth="1"/>
    <col min="30" max="31" width="10.28515625" style="96" hidden="1" customWidth="1"/>
    <col min="32" max="32" width="7.85546875" style="89" customWidth="1"/>
    <col min="33" max="34" width="13.42578125" style="374" hidden="1" customWidth="1"/>
    <col min="35" max="46" width="13.42578125" style="444"/>
    <col min="47" max="16384" width="13.42578125" style="129"/>
  </cols>
  <sheetData>
    <row r="1" spans="1:46" ht="63.6" customHeight="1">
      <c r="A1" s="231"/>
      <c r="B1" s="133"/>
      <c r="C1" s="129"/>
      <c r="D1" s="226"/>
      <c r="E1" s="472"/>
      <c r="F1" s="472">
        <v>54</v>
      </c>
      <c r="G1" s="472"/>
      <c r="H1" s="473"/>
      <c r="I1" s="473">
        <v>62</v>
      </c>
      <c r="J1" s="473"/>
      <c r="K1" s="474">
        <v>11</v>
      </c>
      <c r="L1" s="474">
        <v>52</v>
      </c>
      <c r="M1" s="474"/>
      <c r="N1" s="475"/>
      <c r="O1" s="475">
        <v>60</v>
      </c>
      <c r="P1" s="475"/>
      <c r="Q1" s="476"/>
      <c r="R1" s="476">
        <v>51</v>
      </c>
      <c r="S1" s="476"/>
      <c r="T1" s="477"/>
      <c r="U1" s="477">
        <v>59</v>
      </c>
      <c r="V1" s="477"/>
      <c r="W1" s="476"/>
      <c r="X1" s="476">
        <v>50</v>
      </c>
      <c r="Y1" s="476"/>
      <c r="Z1" s="477"/>
      <c r="AA1" s="477">
        <v>58</v>
      </c>
      <c r="AB1" s="477"/>
      <c r="AC1" s="476"/>
      <c r="AD1" s="476">
        <v>49</v>
      </c>
      <c r="AE1" s="476"/>
      <c r="AF1" s="477"/>
      <c r="AG1" s="476">
        <v>57</v>
      </c>
    </row>
    <row r="2" spans="1:46" ht="18.75" thickBot="1">
      <c r="A2" s="698" t="s">
        <v>779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</row>
    <row r="3" spans="1:46" s="481" customFormat="1" ht="18.75" customHeight="1" thickBot="1">
      <c r="A3" s="675" t="s">
        <v>295</v>
      </c>
      <c r="B3" s="451" t="s">
        <v>281</v>
      </c>
      <c r="C3" s="457"/>
      <c r="D3" s="458"/>
      <c r="E3" s="699" t="s">
        <v>741</v>
      </c>
      <c r="F3" s="700"/>
      <c r="G3" s="700"/>
      <c r="H3" s="700"/>
      <c r="I3" s="700"/>
      <c r="J3" s="701"/>
      <c r="K3" s="699" t="s">
        <v>292</v>
      </c>
      <c r="L3" s="700"/>
      <c r="M3" s="700"/>
      <c r="N3" s="700"/>
      <c r="O3" s="700"/>
      <c r="P3" s="701"/>
      <c r="Q3" s="699" t="s">
        <v>740</v>
      </c>
      <c r="R3" s="700"/>
      <c r="S3" s="700"/>
      <c r="T3" s="700"/>
      <c r="U3" s="700"/>
      <c r="V3" s="701"/>
      <c r="W3" s="699" t="s">
        <v>293</v>
      </c>
      <c r="X3" s="700"/>
      <c r="Y3" s="700"/>
      <c r="Z3" s="700"/>
      <c r="AA3" s="700"/>
      <c r="AB3" s="700"/>
      <c r="AC3" s="699" t="s">
        <v>322</v>
      </c>
      <c r="AD3" s="700"/>
      <c r="AE3" s="700"/>
      <c r="AF3" s="700"/>
      <c r="AG3" s="700"/>
      <c r="AH3" s="701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</row>
    <row r="4" spans="1:46" s="124" customFormat="1" ht="12.75" customHeight="1">
      <c r="A4" s="676" t="s">
        <v>296</v>
      </c>
      <c r="B4" s="115" t="s">
        <v>13</v>
      </c>
      <c r="C4" s="119" t="s">
        <v>83</v>
      </c>
      <c r="D4" s="101"/>
      <c r="E4" s="108" t="s">
        <v>81</v>
      </c>
      <c r="F4" s="241" t="s">
        <v>780</v>
      </c>
      <c r="G4" s="241" t="s">
        <v>781</v>
      </c>
      <c r="H4" s="107" t="s">
        <v>82</v>
      </c>
      <c r="I4" s="241" t="s">
        <v>780</v>
      </c>
      <c r="J4" s="241" t="s">
        <v>781</v>
      </c>
      <c r="K4" s="108" t="s">
        <v>81</v>
      </c>
      <c r="L4" s="241" t="s">
        <v>780</v>
      </c>
      <c r="M4" s="241" t="s">
        <v>781</v>
      </c>
      <c r="N4" s="107" t="s">
        <v>82</v>
      </c>
      <c r="O4" s="241" t="s">
        <v>780</v>
      </c>
      <c r="P4" s="241" t="s">
        <v>781</v>
      </c>
      <c r="Q4" s="108" t="s">
        <v>81</v>
      </c>
      <c r="R4" s="241" t="s">
        <v>780</v>
      </c>
      <c r="S4" s="241" t="s">
        <v>781</v>
      </c>
      <c r="T4" s="107" t="s">
        <v>82</v>
      </c>
      <c r="U4" s="241" t="s">
        <v>780</v>
      </c>
      <c r="V4" s="241" t="s">
        <v>781</v>
      </c>
      <c r="W4" s="108" t="s">
        <v>81</v>
      </c>
      <c r="X4" s="241" t="s">
        <v>780</v>
      </c>
      <c r="Y4" s="241" t="s">
        <v>781</v>
      </c>
      <c r="Z4" s="107" t="s">
        <v>82</v>
      </c>
      <c r="AA4" s="241" t="s">
        <v>780</v>
      </c>
      <c r="AB4" s="241" t="s">
        <v>781</v>
      </c>
      <c r="AC4" s="132" t="s">
        <v>81</v>
      </c>
      <c r="AD4" s="241" t="s">
        <v>780</v>
      </c>
      <c r="AE4" s="241" t="s">
        <v>781</v>
      </c>
      <c r="AF4" s="151" t="s">
        <v>82</v>
      </c>
      <c r="AG4" s="241" t="s">
        <v>780</v>
      </c>
      <c r="AH4" s="241" t="s">
        <v>781</v>
      </c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</row>
    <row r="5" spans="1:46" s="124" customFormat="1" ht="13.5" customHeight="1" thickBot="1">
      <c r="A5" s="677"/>
      <c r="B5" s="155" t="s">
        <v>14</v>
      </c>
      <c r="C5" s="156" t="s">
        <v>379</v>
      </c>
      <c r="D5" s="157" t="s">
        <v>84</v>
      </c>
      <c r="E5" s="158" t="s">
        <v>85</v>
      </c>
      <c r="F5" s="159"/>
      <c r="G5" s="159"/>
      <c r="H5" s="159" t="s">
        <v>297</v>
      </c>
      <c r="I5" s="159"/>
      <c r="J5" s="159"/>
      <c r="K5" s="158" t="s">
        <v>85</v>
      </c>
      <c r="L5" s="159"/>
      <c r="M5" s="159"/>
      <c r="N5" s="159" t="s">
        <v>297</v>
      </c>
      <c r="O5" s="159"/>
      <c r="P5" s="159"/>
      <c r="Q5" s="158" t="s">
        <v>85</v>
      </c>
      <c r="R5" s="159"/>
      <c r="S5" s="159"/>
      <c r="T5" s="159" t="s">
        <v>297</v>
      </c>
      <c r="U5" s="159"/>
      <c r="V5" s="159"/>
      <c r="W5" s="158" t="s">
        <v>85</v>
      </c>
      <c r="X5" s="159"/>
      <c r="Y5" s="159"/>
      <c r="Z5" s="159" t="s">
        <v>297</v>
      </c>
      <c r="AA5" s="159"/>
      <c r="AB5" s="159"/>
      <c r="AC5" s="160" t="s">
        <v>85</v>
      </c>
      <c r="AD5" s="479"/>
      <c r="AE5" s="479"/>
      <c r="AF5" s="161" t="s">
        <v>297</v>
      </c>
      <c r="AG5" s="375"/>
      <c r="AH5" s="375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</row>
    <row r="6" spans="1:46" s="124" customFormat="1" ht="15">
      <c r="A6" s="394"/>
      <c r="B6" s="153" t="s">
        <v>300</v>
      </c>
      <c r="C6" s="153"/>
      <c r="D6" s="154"/>
      <c r="E6" s="186"/>
      <c r="F6" s="478"/>
      <c r="G6" s="478"/>
      <c r="H6" s="187"/>
      <c r="I6" s="478"/>
      <c r="J6" s="478"/>
      <c r="K6" s="186"/>
      <c r="L6" s="478"/>
      <c r="M6" s="478"/>
      <c r="N6" s="187"/>
      <c r="O6" s="478"/>
      <c r="P6" s="478"/>
      <c r="Q6" s="186"/>
      <c r="R6" s="478"/>
      <c r="S6" s="478"/>
      <c r="T6" s="187"/>
      <c r="U6" s="478"/>
      <c r="V6" s="478"/>
      <c r="W6" s="186"/>
      <c r="X6" s="478"/>
      <c r="Y6" s="478"/>
      <c r="Z6" s="187"/>
      <c r="AA6" s="478"/>
      <c r="AB6" s="478"/>
      <c r="AC6" s="186"/>
      <c r="AD6" s="478"/>
      <c r="AE6" s="478"/>
      <c r="AF6" s="190"/>
      <c r="AG6" s="375"/>
      <c r="AH6" s="375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</row>
    <row r="7" spans="1:46" s="124" customFormat="1">
      <c r="A7" s="232">
        <v>7891721000423</v>
      </c>
      <c r="B7" s="126">
        <v>1008901840018</v>
      </c>
      <c r="C7" s="117" t="s">
        <v>382</v>
      </c>
      <c r="D7" s="92" t="s">
        <v>289</v>
      </c>
      <c r="E7" s="261">
        <f>ROUND(K7*1.025,2)</f>
        <v>18.39</v>
      </c>
      <c r="F7" s="261">
        <f>VLOOKUP($A7,[1]Planilha!$A$18:$BK$553,54,FALSE)</f>
        <v>18.170000000000002</v>
      </c>
      <c r="G7" s="261">
        <f>E7-F7</f>
        <v>0.21999999999999886</v>
      </c>
      <c r="H7" s="261">
        <f>ROUND(E7/0.723358,2)</f>
        <v>25.42</v>
      </c>
      <c r="I7" s="261">
        <f>VLOOKUP($A7,[1]Planilha!$A$18:$BK$553,62,FALSE)</f>
        <v>25.42</v>
      </c>
      <c r="J7" s="261">
        <f>H7-I7</f>
        <v>0</v>
      </c>
      <c r="K7" s="261">
        <f>VLOOKUP(A7,[2]Plan1!$H$2:$J$279,3,FALSE)</f>
        <v>17.945388000000001</v>
      </c>
      <c r="L7" s="261">
        <f>VLOOKUP($A7,[1]Planilha!$A$18:$BK$553,52,FALSE)</f>
        <v>17.95</v>
      </c>
      <c r="M7" s="261">
        <f>K7-L7</f>
        <v>-4.6119999999980621E-3</v>
      </c>
      <c r="N7" s="261">
        <f>ROUND(K7/0.723358,2)</f>
        <v>24.81</v>
      </c>
      <c r="O7" s="261">
        <f>VLOOKUP($A7,[1]Planilha!$A$18:$BK$553,60,FALSE)</f>
        <v>24.81</v>
      </c>
      <c r="P7" s="261">
        <f>N7-O7</f>
        <v>0</v>
      </c>
      <c r="Q7" s="261">
        <f>ROUND(K7*0.993939,2)</f>
        <v>17.84</v>
      </c>
      <c r="R7" s="261">
        <f>VLOOKUP($A7,[1]Planilha!$A$18:$BK$553,51,FALSE)</f>
        <v>17.84</v>
      </c>
      <c r="S7" s="261">
        <f>Q7-R7</f>
        <v>0</v>
      </c>
      <c r="T7" s="261">
        <f>ROUND(Q7/0.723358,2)</f>
        <v>24.66</v>
      </c>
      <c r="U7" s="261">
        <f>VLOOKUP($A7,[1]Planilha!$A$18:$BK$553,59,FALSE)</f>
        <v>24.66</v>
      </c>
      <c r="V7" s="261">
        <f>T7-U7</f>
        <v>0</v>
      </c>
      <c r="W7" s="261">
        <f>ROUND(K7*0.987952,2)</f>
        <v>17.73</v>
      </c>
      <c r="X7" s="261">
        <f>VLOOKUP($A7,[1]Planilha!$A$18:$BK$553,50,FALSE)</f>
        <v>17.73</v>
      </c>
      <c r="Y7" s="261">
        <f>W7-X7</f>
        <v>0</v>
      </c>
      <c r="Z7" s="261">
        <f>ROUND(W7/0.723358,2)</f>
        <v>24.51</v>
      </c>
      <c r="AA7" s="261">
        <f>VLOOKUP($A7,[1]Planilha!$A$18:$BK$553,58,FALSE)</f>
        <v>24.51</v>
      </c>
      <c r="AB7" s="261">
        <f>Z7-AA7</f>
        <v>0</v>
      </c>
      <c r="AC7" s="261">
        <f>ROUND(K7*0.931818,2)</f>
        <v>16.72</v>
      </c>
      <c r="AD7" s="261">
        <f>VLOOKUP($A7,[1]Planilha!$A$18:$BK$553,49,FALSE)</f>
        <v>16.72</v>
      </c>
      <c r="AE7" s="261">
        <f>AC7-AD7</f>
        <v>0</v>
      </c>
      <c r="AF7" s="262">
        <f>ROUND(AC7/0.723358,2)</f>
        <v>23.11</v>
      </c>
      <c r="AG7" s="261">
        <f>VLOOKUP($A7,[1]Planilha!$A$18:$BK$553,57,FALSE)</f>
        <v>23.11</v>
      </c>
      <c r="AH7" s="261">
        <f>AF7-AG7</f>
        <v>0</v>
      </c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</row>
    <row r="8" spans="1:46" s="124" customFormat="1" ht="15">
      <c r="A8" s="414"/>
      <c r="B8" s="105" t="s">
        <v>311</v>
      </c>
      <c r="C8" s="105"/>
      <c r="D8" s="106"/>
      <c r="E8" s="188"/>
      <c r="F8" s="261" t="e">
        <f>VLOOKUP($A8,[1]Planilha!$A$18:$BK$553,54,FALSE)</f>
        <v>#N/A</v>
      </c>
      <c r="G8" s="261" t="e">
        <f t="shared" ref="G8:G71" si="0">E8-F8</f>
        <v>#N/A</v>
      </c>
      <c r="H8" s="189"/>
      <c r="I8" s="261" t="e">
        <f>VLOOKUP($A8,[1]Planilha!$A$18:$BK$553,62,FALSE)</f>
        <v>#N/A</v>
      </c>
      <c r="J8" s="261" t="e">
        <f t="shared" ref="J8:J71" si="1">H8-I8</f>
        <v>#N/A</v>
      </c>
      <c r="K8" s="188"/>
      <c r="L8" s="261" t="e">
        <f>VLOOKUP($A8,[1]Planilha!$A$18:$BK$553,52,FALSE)</f>
        <v>#N/A</v>
      </c>
      <c r="M8" s="261" t="e">
        <f t="shared" ref="M8:M71" si="2">K8-L8</f>
        <v>#N/A</v>
      </c>
      <c r="N8" s="189"/>
      <c r="O8" s="261" t="e">
        <f>VLOOKUP($A8,[1]Planilha!$A$18:$BK$553,60,FALSE)</f>
        <v>#N/A</v>
      </c>
      <c r="P8" s="261" t="e">
        <f t="shared" ref="P8:P71" si="3">N8-O8</f>
        <v>#N/A</v>
      </c>
      <c r="Q8" s="188"/>
      <c r="R8" s="261" t="e">
        <f>VLOOKUP($A8,[1]Planilha!$A$18:$BK$553,51,FALSE)</f>
        <v>#N/A</v>
      </c>
      <c r="S8" s="261" t="e">
        <f t="shared" ref="S8:S71" si="4">Q8-R8</f>
        <v>#N/A</v>
      </c>
      <c r="T8" s="189"/>
      <c r="U8" s="261" t="e">
        <f>VLOOKUP($A8,[1]Planilha!$A$18:$BK$553,59,FALSE)</f>
        <v>#N/A</v>
      </c>
      <c r="V8" s="261" t="e">
        <f t="shared" ref="V8:V71" si="5">T8-U8</f>
        <v>#N/A</v>
      </c>
      <c r="W8" s="188"/>
      <c r="X8" s="261" t="e">
        <f>VLOOKUP($A8,[1]Planilha!$A$18:$BK$553,50,FALSE)</f>
        <v>#N/A</v>
      </c>
      <c r="Y8" s="261" t="e">
        <f t="shared" ref="Y8:Y71" si="6">W8-X8</f>
        <v>#N/A</v>
      </c>
      <c r="Z8" s="189"/>
      <c r="AA8" s="261" t="e">
        <f>VLOOKUP($A8,[1]Planilha!$A$18:$BK$553,58,FALSE)</f>
        <v>#N/A</v>
      </c>
      <c r="AB8" s="261" t="e">
        <f t="shared" ref="AB8:AB71" si="7">Z8-AA8</f>
        <v>#N/A</v>
      </c>
      <c r="AC8" s="188"/>
      <c r="AD8" s="261" t="e">
        <f>VLOOKUP($A8,[1]Planilha!$A$18:$BK$553,49,FALSE)</f>
        <v>#N/A</v>
      </c>
      <c r="AE8" s="261" t="e">
        <f t="shared" ref="AE8:AE71" si="8">AC8-AD8</f>
        <v>#N/A</v>
      </c>
      <c r="AF8" s="191"/>
      <c r="AG8" s="261" t="e">
        <f>VLOOKUP($A8,[1]Planilha!$A$18:$BK$553,57,FALSE)</f>
        <v>#N/A</v>
      </c>
      <c r="AH8" s="261" t="e">
        <f t="shared" ref="AH8:AH71" si="9">AF8-AG8</f>
        <v>#N/A</v>
      </c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</row>
    <row r="9" spans="1:46" s="124" customFormat="1">
      <c r="A9" s="232">
        <v>7891721000225</v>
      </c>
      <c r="B9" s="126">
        <v>1008901680053</v>
      </c>
      <c r="C9" s="117" t="s">
        <v>383</v>
      </c>
      <c r="D9" s="214" t="s">
        <v>611</v>
      </c>
      <c r="E9" s="265">
        <f>K9</f>
        <v>40.229784000000002</v>
      </c>
      <c r="F9" s="261">
        <f>VLOOKUP($A9,[1]Planilha!$A$18:$BK$553,54,FALSE)</f>
        <v>40.729999999999997</v>
      </c>
      <c r="G9" s="261">
        <f t="shared" si="0"/>
        <v>-0.50021599999999466</v>
      </c>
      <c r="H9" s="265">
        <f>N9</f>
        <v>55.61</v>
      </c>
      <c r="I9" s="261">
        <f>VLOOKUP($A9,[1]Planilha!$A$18:$BK$553,62,FALSE)</f>
        <v>57</v>
      </c>
      <c r="J9" s="261">
        <f t="shared" si="1"/>
        <v>-1.3900000000000006</v>
      </c>
      <c r="K9" s="265">
        <f>VLOOKUP(A9,[2]Plan1!$H$2:$J$279,3,FALSE)</f>
        <v>40.229784000000002</v>
      </c>
      <c r="L9" s="261">
        <f>VLOOKUP($A9,[1]Planilha!$A$18:$BK$553,52,FALSE)</f>
        <v>40.229999999999997</v>
      </c>
      <c r="M9" s="261">
        <f t="shared" si="2"/>
        <v>-2.159999999946649E-4</v>
      </c>
      <c r="N9" s="483">
        <v>55.61</v>
      </c>
      <c r="O9" s="261">
        <f>VLOOKUP($A9,[1]Planilha!$A$18:$BK$553,60,FALSE)</f>
        <v>55.61</v>
      </c>
      <c r="P9" s="261">
        <f t="shared" si="3"/>
        <v>0</v>
      </c>
      <c r="Q9" s="265">
        <f t="shared" ref="Q9:Q10" si="10">ROUND(K9*0.993939,2)</f>
        <v>39.99</v>
      </c>
      <c r="R9" s="261">
        <f>VLOOKUP($A9,[1]Planilha!$A$18:$BK$553,51,FALSE)</f>
        <v>39.99</v>
      </c>
      <c r="S9" s="261">
        <f t="shared" si="4"/>
        <v>0</v>
      </c>
      <c r="T9" s="265">
        <f t="shared" ref="T9:T10" si="11">ROUND(Q9/0.723358,2)</f>
        <v>55.28</v>
      </c>
      <c r="U9" s="261">
        <f>VLOOKUP($A9,[1]Planilha!$A$18:$BK$553,59,FALSE)</f>
        <v>55.28</v>
      </c>
      <c r="V9" s="261">
        <f t="shared" si="5"/>
        <v>0</v>
      </c>
      <c r="W9" s="483">
        <v>39.74</v>
      </c>
      <c r="X9" s="261">
        <f>VLOOKUP($A9,[1]Planilha!$A$18:$BK$553,50,FALSE)</f>
        <v>39.74</v>
      </c>
      <c r="Y9" s="261">
        <f t="shared" si="6"/>
        <v>0</v>
      </c>
      <c r="Z9" s="265">
        <f t="shared" ref="Z9:Z65" si="12">ROUND(W9/0.723358,2)</f>
        <v>54.94</v>
      </c>
      <c r="AA9" s="261">
        <f>VLOOKUP($A9,[1]Planilha!$A$18:$BK$553,58,FALSE)</f>
        <v>54.94</v>
      </c>
      <c r="AB9" s="261">
        <f t="shared" si="7"/>
        <v>0</v>
      </c>
      <c r="AC9" s="265">
        <f t="shared" ref="AC9:AC10" si="13">ROUND(K9*0.931818,2)</f>
        <v>37.49</v>
      </c>
      <c r="AD9" s="261">
        <f>VLOOKUP($A9,[1]Planilha!$A$18:$BK$553,49,FALSE)</f>
        <v>37.49</v>
      </c>
      <c r="AE9" s="261">
        <f t="shared" si="8"/>
        <v>0</v>
      </c>
      <c r="AF9" s="266">
        <f t="shared" ref="AF9:AF10" si="14">ROUND(AC9/0.723358,2)</f>
        <v>51.83</v>
      </c>
      <c r="AG9" s="261">
        <f>VLOOKUP($A9,[1]Planilha!$A$18:$BK$553,57,FALSE)</f>
        <v>51.83</v>
      </c>
      <c r="AH9" s="261">
        <f t="shared" si="9"/>
        <v>0</v>
      </c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</row>
    <row r="10" spans="1:46" s="124" customFormat="1">
      <c r="A10" s="232">
        <v>7891721000300</v>
      </c>
      <c r="B10" s="126">
        <v>1008901680029</v>
      </c>
      <c r="C10" s="121" t="s">
        <v>384</v>
      </c>
      <c r="D10" s="92" t="s">
        <v>612</v>
      </c>
      <c r="E10" s="267">
        <f>K10</f>
        <v>29.789704000000004</v>
      </c>
      <c r="F10" s="261">
        <f>VLOOKUP($A10,[1]Planilha!$A$18:$BK$553,54,FALSE)</f>
        <v>30.16</v>
      </c>
      <c r="G10" s="261">
        <f t="shared" si="0"/>
        <v>-0.37029599999999618</v>
      </c>
      <c r="H10" s="267">
        <f t="shared" ref="H10" si="15">N10</f>
        <v>41.18</v>
      </c>
      <c r="I10" s="261">
        <f>VLOOKUP($A10,[1]Planilha!$A$18:$BK$553,62,FALSE)</f>
        <v>42.21</v>
      </c>
      <c r="J10" s="261">
        <f t="shared" si="1"/>
        <v>-1.0300000000000011</v>
      </c>
      <c r="K10" s="265">
        <f>VLOOKUP(A10,[2]Plan1!$H$2:$J$279,3,FALSE)</f>
        <v>29.789704000000004</v>
      </c>
      <c r="L10" s="261">
        <f>VLOOKUP($A10,[1]Planilha!$A$18:$BK$553,52,FALSE)</f>
        <v>29.79</v>
      </c>
      <c r="M10" s="261">
        <f t="shared" si="2"/>
        <v>-2.95999999995189E-4</v>
      </c>
      <c r="N10" s="267">
        <f t="shared" ref="N10" si="16">ROUND(K10/0.723358,2)</f>
        <v>41.18</v>
      </c>
      <c r="O10" s="261">
        <f>VLOOKUP($A10,[1]Planilha!$A$18:$BK$553,60,FALSE)</f>
        <v>41.18</v>
      </c>
      <c r="P10" s="261">
        <f t="shared" si="3"/>
        <v>0</v>
      </c>
      <c r="Q10" s="267">
        <f t="shared" si="10"/>
        <v>29.61</v>
      </c>
      <c r="R10" s="261">
        <f>VLOOKUP($A10,[1]Planilha!$A$18:$BK$553,51,FALSE)</f>
        <v>29.61</v>
      </c>
      <c r="S10" s="261">
        <f t="shared" si="4"/>
        <v>0</v>
      </c>
      <c r="T10" s="267">
        <f t="shared" si="11"/>
        <v>40.93</v>
      </c>
      <c r="U10" s="261">
        <f>VLOOKUP($A10,[1]Planilha!$A$18:$BK$553,59,FALSE)</f>
        <v>40.93</v>
      </c>
      <c r="V10" s="261">
        <f t="shared" si="5"/>
        <v>0</v>
      </c>
      <c r="W10" s="267">
        <f t="shared" ref="W10:W65" si="17">ROUND(K10*0.987952,2)</f>
        <v>29.43</v>
      </c>
      <c r="X10" s="261">
        <f>VLOOKUP($A10,[1]Planilha!$A$18:$BK$553,50,FALSE)</f>
        <v>29.43</v>
      </c>
      <c r="Y10" s="261">
        <f t="shared" si="6"/>
        <v>0</v>
      </c>
      <c r="Z10" s="267">
        <f t="shared" si="12"/>
        <v>40.69</v>
      </c>
      <c r="AA10" s="261">
        <f>VLOOKUP($A10,[1]Planilha!$A$18:$BK$553,58,FALSE)</f>
        <v>40.69</v>
      </c>
      <c r="AB10" s="261">
        <f t="shared" si="7"/>
        <v>0</v>
      </c>
      <c r="AC10" s="267">
        <f t="shared" si="13"/>
        <v>27.76</v>
      </c>
      <c r="AD10" s="261">
        <f>VLOOKUP($A10,[1]Planilha!$A$18:$BK$553,49,FALSE)</f>
        <v>27.76</v>
      </c>
      <c r="AE10" s="261">
        <f t="shared" si="8"/>
        <v>0</v>
      </c>
      <c r="AF10" s="268">
        <f t="shared" si="14"/>
        <v>38.380000000000003</v>
      </c>
      <c r="AG10" s="261">
        <f>VLOOKUP($A10,[1]Planilha!$A$18:$BK$553,57,FALSE)</f>
        <v>38.380000000000003</v>
      </c>
      <c r="AH10" s="261">
        <f t="shared" si="9"/>
        <v>0</v>
      </c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</row>
    <row r="11" spans="1:46" s="124" customFormat="1" ht="15">
      <c r="A11" s="414"/>
      <c r="B11" s="105" t="s">
        <v>282</v>
      </c>
      <c r="C11" s="105"/>
      <c r="D11" s="106"/>
      <c r="E11" s="188"/>
      <c r="F11" s="261" t="e">
        <f>VLOOKUP($A11,[1]Planilha!$A$18:$BK$553,54,FALSE)</f>
        <v>#N/A</v>
      </c>
      <c r="G11" s="261" t="e">
        <f t="shared" si="0"/>
        <v>#N/A</v>
      </c>
      <c r="H11" s="189"/>
      <c r="I11" s="261" t="e">
        <f>VLOOKUP($A11,[1]Planilha!$A$18:$BK$553,62,FALSE)</f>
        <v>#N/A</v>
      </c>
      <c r="J11" s="261" t="e">
        <f t="shared" si="1"/>
        <v>#N/A</v>
      </c>
      <c r="K11" s="188"/>
      <c r="L11" s="261" t="e">
        <f>VLOOKUP($A11,[1]Planilha!$A$18:$BK$553,52,FALSE)</f>
        <v>#N/A</v>
      </c>
      <c r="M11" s="261" t="e">
        <f t="shared" si="2"/>
        <v>#N/A</v>
      </c>
      <c r="N11" s="189"/>
      <c r="O11" s="261" t="e">
        <f>VLOOKUP($A11,[1]Planilha!$A$18:$BK$553,60,FALSE)</f>
        <v>#N/A</v>
      </c>
      <c r="P11" s="261" t="e">
        <f t="shared" si="3"/>
        <v>#N/A</v>
      </c>
      <c r="Q11" s="188"/>
      <c r="R11" s="261" t="e">
        <f>VLOOKUP($A11,[1]Planilha!$A$18:$BK$553,51,FALSE)</f>
        <v>#N/A</v>
      </c>
      <c r="S11" s="261" t="e">
        <f t="shared" si="4"/>
        <v>#N/A</v>
      </c>
      <c r="T11" s="189"/>
      <c r="U11" s="261" t="e">
        <f>VLOOKUP($A11,[1]Planilha!$A$18:$BK$553,59,FALSE)</f>
        <v>#N/A</v>
      </c>
      <c r="V11" s="261" t="e">
        <f t="shared" si="5"/>
        <v>#N/A</v>
      </c>
      <c r="W11" s="188"/>
      <c r="X11" s="261" t="e">
        <f>VLOOKUP($A11,[1]Planilha!$A$18:$BK$553,50,FALSE)</f>
        <v>#N/A</v>
      </c>
      <c r="Y11" s="261" t="e">
        <f t="shared" si="6"/>
        <v>#N/A</v>
      </c>
      <c r="Z11" s="189"/>
      <c r="AA11" s="261" t="e">
        <f>VLOOKUP($A11,[1]Planilha!$A$18:$BK$553,58,FALSE)</f>
        <v>#N/A</v>
      </c>
      <c r="AB11" s="261" t="e">
        <f t="shared" si="7"/>
        <v>#N/A</v>
      </c>
      <c r="AC11" s="188"/>
      <c r="AD11" s="261" t="e">
        <f>VLOOKUP($A11,[1]Planilha!$A$18:$BK$553,49,FALSE)</f>
        <v>#N/A</v>
      </c>
      <c r="AE11" s="261" t="e">
        <f t="shared" si="8"/>
        <v>#N/A</v>
      </c>
      <c r="AF11" s="191"/>
      <c r="AG11" s="261" t="e">
        <f>VLOOKUP($A11,[1]Planilha!$A$18:$BK$553,57,FALSE)</f>
        <v>#N/A</v>
      </c>
      <c r="AH11" s="261" t="e">
        <f t="shared" si="9"/>
        <v>#N/A</v>
      </c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</row>
    <row r="12" spans="1:46" s="124" customFormat="1">
      <c r="A12" s="232">
        <v>7891721002038</v>
      </c>
      <c r="B12" s="126">
        <v>1008902010078</v>
      </c>
      <c r="C12" s="117" t="s">
        <v>385</v>
      </c>
      <c r="D12" s="92" t="s">
        <v>358</v>
      </c>
      <c r="E12" s="265">
        <f t="shared" ref="E12:E22" si="18">ROUND(K12*1.025,2)</f>
        <v>56.32</v>
      </c>
      <c r="F12" s="261">
        <f>VLOOKUP($A12,[1]Planilha!$A$18:$BK$553,54,FALSE)</f>
        <v>55.63</v>
      </c>
      <c r="G12" s="261">
        <f t="shared" si="0"/>
        <v>0.68999999999999773</v>
      </c>
      <c r="H12" s="265">
        <f t="shared" ref="H12:H22" si="19">ROUND(E12/0.723358,2)</f>
        <v>77.86</v>
      </c>
      <c r="I12" s="261">
        <f>VLOOKUP($A12,[1]Planilha!$A$18:$BK$553,62,FALSE)</f>
        <v>77.86</v>
      </c>
      <c r="J12" s="261">
        <f t="shared" si="1"/>
        <v>0</v>
      </c>
      <c r="K12" s="265">
        <f>VLOOKUP(A12,[2]Plan1!$H$2:$J$279,3,FALSE)</f>
        <v>54.947256000000003</v>
      </c>
      <c r="L12" s="261">
        <f>VLOOKUP($A12,[1]Planilha!$A$18:$BK$553,52,FALSE)</f>
        <v>54.95</v>
      </c>
      <c r="M12" s="261">
        <f t="shared" si="2"/>
        <v>-2.7439999999998577E-3</v>
      </c>
      <c r="N12" s="265">
        <f t="shared" ref="N12:N13" si="20">ROUND(K12/0.723358,2)</f>
        <v>75.959999999999994</v>
      </c>
      <c r="O12" s="261">
        <f>VLOOKUP($A12,[1]Planilha!$A$18:$BK$553,60,FALSE)</f>
        <v>75.959999999999994</v>
      </c>
      <c r="P12" s="261">
        <f t="shared" si="3"/>
        <v>0</v>
      </c>
      <c r="Q12" s="265">
        <f t="shared" ref="Q12:Q22" si="21">ROUND(K12*0.993939,2)</f>
        <v>54.61</v>
      </c>
      <c r="R12" s="261">
        <f>VLOOKUP($A12,[1]Planilha!$A$18:$BK$553,51,FALSE)</f>
        <v>54.61</v>
      </c>
      <c r="S12" s="261">
        <f t="shared" si="4"/>
        <v>0</v>
      </c>
      <c r="T12" s="265">
        <f t="shared" ref="T12:T22" si="22">ROUND(Q12/0.723358,2)</f>
        <v>75.5</v>
      </c>
      <c r="U12" s="261">
        <f>VLOOKUP($A12,[1]Planilha!$A$18:$BK$553,59,FALSE)</f>
        <v>75.5</v>
      </c>
      <c r="V12" s="261">
        <f t="shared" si="5"/>
        <v>0</v>
      </c>
      <c r="W12" s="483">
        <v>54.28</v>
      </c>
      <c r="X12" s="261">
        <f>VLOOKUP($A12,[1]Planilha!$A$18:$BK$553,50,FALSE)</f>
        <v>54.28</v>
      </c>
      <c r="Y12" s="261">
        <f t="shared" si="6"/>
        <v>0</v>
      </c>
      <c r="Z12" s="265">
        <f t="shared" si="12"/>
        <v>75.040000000000006</v>
      </c>
      <c r="AA12" s="261">
        <f>VLOOKUP($A12,[1]Planilha!$A$18:$BK$553,58,FALSE)</f>
        <v>75.040000000000006</v>
      </c>
      <c r="AB12" s="261">
        <f t="shared" si="7"/>
        <v>0</v>
      </c>
      <c r="AC12" s="265">
        <f t="shared" ref="AC12:AC22" si="23">ROUND(K12*0.931818,2)</f>
        <v>51.2</v>
      </c>
      <c r="AD12" s="261">
        <f>VLOOKUP($A12,[1]Planilha!$A$18:$BK$553,49,FALSE)</f>
        <v>51.2</v>
      </c>
      <c r="AE12" s="261">
        <f t="shared" si="8"/>
        <v>0</v>
      </c>
      <c r="AF12" s="266">
        <f t="shared" ref="AF12:AF22" si="24">ROUND(AC12/0.723358,2)</f>
        <v>70.78</v>
      </c>
      <c r="AG12" s="261">
        <f>VLOOKUP($A12,[1]Planilha!$A$18:$BK$553,57,FALSE)</f>
        <v>70.78</v>
      </c>
      <c r="AH12" s="261">
        <f t="shared" si="9"/>
        <v>0</v>
      </c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</row>
    <row r="13" spans="1:46" s="124" customFormat="1">
      <c r="A13" s="232">
        <v>7891721002045</v>
      </c>
      <c r="B13" s="126">
        <v>1008902010086</v>
      </c>
      <c r="C13" s="121" t="s">
        <v>386</v>
      </c>
      <c r="D13" s="92" t="s">
        <v>359</v>
      </c>
      <c r="E13" s="267">
        <f t="shared" si="18"/>
        <v>73.25</v>
      </c>
      <c r="F13" s="261">
        <f>VLOOKUP($A13,[1]Planilha!$A$18:$BK$553,54,FALSE)</f>
        <v>72.34</v>
      </c>
      <c r="G13" s="261">
        <f t="shared" si="0"/>
        <v>0.90999999999999659</v>
      </c>
      <c r="H13" s="267">
        <f t="shared" si="19"/>
        <v>101.26</v>
      </c>
      <c r="I13" s="261">
        <f>VLOOKUP($A13,[1]Planilha!$A$18:$BK$553,62,FALSE)</f>
        <v>101.25</v>
      </c>
      <c r="J13" s="261">
        <f t="shared" si="1"/>
        <v>1.0000000000005116E-2</v>
      </c>
      <c r="K13" s="265">
        <f>VLOOKUP(A13,[2]Plan1!$H$2:$J$279,3,FALSE)</f>
        <v>71.458800000000011</v>
      </c>
      <c r="L13" s="261">
        <f>VLOOKUP($A13,[1]Planilha!$A$18:$BK$553,52,FALSE)</f>
        <v>71.459999999999994</v>
      </c>
      <c r="M13" s="261">
        <f t="shared" si="2"/>
        <v>-1.1999999999829924E-3</v>
      </c>
      <c r="N13" s="267">
        <f t="shared" si="20"/>
        <v>98.79</v>
      </c>
      <c r="O13" s="261">
        <f>VLOOKUP($A13,[1]Planilha!$A$18:$BK$553,60,FALSE)</f>
        <v>98.79</v>
      </c>
      <c r="P13" s="261">
        <f t="shared" si="3"/>
        <v>0</v>
      </c>
      <c r="Q13" s="484">
        <v>71.02</v>
      </c>
      <c r="R13" s="261">
        <f>VLOOKUP($A13,[1]Planilha!$A$18:$BK$553,51,FALSE)</f>
        <v>71.02</v>
      </c>
      <c r="S13" s="261">
        <f t="shared" si="4"/>
        <v>0</v>
      </c>
      <c r="T13" s="267">
        <f t="shared" si="22"/>
        <v>98.18</v>
      </c>
      <c r="U13" s="261">
        <f>VLOOKUP($A13,[1]Planilha!$A$18:$BK$553,59,FALSE)</f>
        <v>98.18</v>
      </c>
      <c r="V13" s="261">
        <f t="shared" si="5"/>
        <v>0</v>
      </c>
      <c r="W13" s="267">
        <f t="shared" si="17"/>
        <v>70.599999999999994</v>
      </c>
      <c r="X13" s="261">
        <f>VLOOKUP($A13,[1]Planilha!$A$18:$BK$553,50,FALSE)</f>
        <v>70.599999999999994</v>
      </c>
      <c r="Y13" s="261">
        <f t="shared" si="6"/>
        <v>0</v>
      </c>
      <c r="Z13" s="267">
        <f t="shared" si="12"/>
        <v>97.6</v>
      </c>
      <c r="AA13" s="261">
        <f>VLOOKUP($A13,[1]Planilha!$A$18:$BK$553,58,FALSE)</f>
        <v>97.6</v>
      </c>
      <c r="AB13" s="261">
        <f t="shared" si="7"/>
        <v>0</v>
      </c>
      <c r="AC13" s="267">
        <f t="shared" si="23"/>
        <v>66.59</v>
      </c>
      <c r="AD13" s="261">
        <f>VLOOKUP($A13,[1]Planilha!$A$18:$BK$553,49,FALSE)</f>
        <v>66.59</v>
      </c>
      <c r="AE13" s="261">
        <f t="shared" si="8"/>
        <v>0</v>
      </c>
      <c r="AF13" s="268">
        <f t="shared" si="24"/>
        <v>92.06</v>
      </c>
      <c r="AG13" s="261">
        <f>VLOOKUP($A13,[1]Planilha!$A$18:$BK$553,57,FALSE)</f>
        <v>92.06</v>
      </c>
      <c r="AH13" s="261">
        <f t="shared" si="9"/>
        <v>0</v>
      </c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</row>
    <row r="14" spans="1:46" s="124" customFormat="1">
      <c r="A14" s="232">
        <v>7891721002052</v>
      </c>
      <c r="B14" s="126">
        <v>1008902010094</v>
      </c>
      <c r="C14" s="122" t="s">
        <v>387</v>
      </c>
      <c r="D14" s="214" t="s">
        <v>360</v>
      </c>
      <c r="E14" s="269">
        <f t="shared" si="18"/>
        <v>74.23</v>
      </c>
      <c r="F14" s="261">
        <f>VLOOKUP($A14,[1]Planilha!$A$18:$BK$553,54,FALSE)</f>
        <v>73.319999999999993</v>
      </c>
      <c r="G14" s="261">
        <f t="shared" si="0"/>
        <v>0.9100000000000108</v>
      </c>
      <c r="H14" s="269">
        <f t="shared" si="19"/>
        <v>102.62</v>
      </c>
      <c r="I14" s="261">
        <f>VLOOKUP($A14,[1]Planilha!$A$18:$BK$553,62,FALSE)</f>
        <v>102.62</v>
      </c>
      <c r="J14" s="261">
        <f t="shared" si="1"/>
        <v>0</v>
      </c>
      <c r="K14" s="265">
        <f>VLOOKUP(A14,[2]Plan1!$H$2:$J$279,3,FALSE)</f>
        <v>72.421720000000008</v>
      </c>
      <c r="L14" s="261">
        <f>VLOOKUP($A14,[1]Planilha!$A$18:$BK$553,52,FALSE)</f>
        <v>72.42</v>
      </c>
      <c r="M14" s="261">
        <f t="shared" si="2"/>
        <v>1.720000000005939E-3</v>
      </c>
      <c r="N14" s="269">
        <f>ROUND(K14/0.723358,2)</f>
        <v>100.12</v>
      </c>
      <c r="O14" s="261">
        <f>VLOOKUP($A14,[1]Planilha!$A$18:$BK$553,60,FALSE)</f>
        <v>100.12</v>
      </c>
      <c r="P14" s="261">
        <f t="shared" si="3"/>
        <v>0</v>
      </c>
      <c r="Q14" s="269">
        <f t="shared" si="21"/>
        <v>71.98</v>
      </c>
      <c r="R14" s="261">
        <f>VLOOKUP($A14,[1]Planilha!$A$18:$BK$553,51,FALSE)</f>
        <v>71.98</v>
      </c>
      <c r="S14" s="261">
        <f t="shared" si="4"/>
        <v>0</v>
      </c>
      <c r="T14" s="269">
        <f t="shared" si="22"/>
        <v>99.51</v>
      </c>
      <c r="U14" s="261">
        <f>VLOOKUP($A14,[1]Planilha!$A$18:$BK$553,59,FALSE)</f>
        <v>99.51</v>
      </c>
      <c r="V14" s="261">
        <f t="shared" si="5"/>
        <v>0</v>
      </c>
      <c r="W14" s="269">
        <f t="shared" si="17"/>
        <v>71.55</v>
      </c>
      <c r="X14" s="261">
        <f>VLOOKUP($A14,[1]Planilha!$A$18:$BK$553,50,FALSE)</f>
        <v>71.55</v>
      </c>
      <c r="Y14" s="261">
        <f t="shared" si="6"/>
        <v>0</v>
      </c>
      <c r="Z14" s="269">
        <f t="shared" si="12"/>
        <v>98.91</v>
      </c>
      <c r="AA14" s="261">
        <f>VLOOKUP($A14,[1]Planilha!$A$18:$BK$553,58,FALSE)</f>
        <v>98.91</v>
      </c>
      <c r="AB14" s="261">
        <f t="shared" si="7"/>
        <v>0</v>
      </c>
      <c r="AC14" s="269">
        <f t="shared" si="23"/>
        <v>67.48</v>
      </c>
      <c r="AD14" s="261">
        <f>VLOOKUP($A14,[1]Planilha!$A$18:$BK$553,49,FALSE)</f>
        <v>67.48</v>
      </c>
      <c r="AE14" s="261">
        <f t="shared" si="8"/>
        <v>0</v>
      </c>
      <c r="AF14" s="270">
        <f t="shared" si="24"/>
        <v>93.29</v>
      </c>
      <c r="AG14" s="261">
        <f>VLOOKUP($A14,[1]Planilha!$A$18:$BK$553,57,FALSE)</f>
        <v>93.29</v>
      </c>
      <c r="AH14" s="261">
        <f t="shared" si="9"/>
        <v>0</v>
      </c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</row>
    <row r="15" spans="1:46" s="124" customFormat="1" ht="15">
      <c r="A15" s="414"/>
      <c r="B15" s="415" t="s">
        <v>765</v>
      </c>
      <c r="C15" s="415"/>
      <c r="D15" s="416"/>
      <c r="E15" s="500"/>
      <c r="F15" s="496" t="e">
        <f>VLOOKUP($A15,[1]Planilha!$A$18:$BK$553,54,FALSE)</f>
        <v>#N/A</v>
      </c>
      <c r="G15" s="496" t="e">
        <f t="shared" si="0"/>
        <v>#N/A</v>
      </c>
      <c r="H15" s="501"/>
      <c r="I15" s="496" t="e">
        <f>VLOOKUP($A15,[1]Planilha!$A$18:$BK$553,62,FALSE)</f>
        <v>#N/A</v>
      </c>
      <c r="J15" s="496" t="e">
        <f t="shared" si="1"/>
        <v>#N/A</v>
      </c>
      <c r="K15" s="500"/>
      <c r="L15" s="496" t="e">
        <f>VLOOKUP($A15,[1]Planilha!$A$18:$BK$553,52,FALSE)</f>
        <v>#N/A</v>
      </c>
      <c r="M15" s="496" t="e">
        <f t="shared" si="2"/>
        <v>#N/A</v>
      </c>
      <c r="N15" s="501"/>
      <c r="O15" s="496" t="e">
        <f>VLOOKUP($A15,[1]Planilha!$A$18:$BK$553,60,FALSE)</f>
        <v>#N/A</v>
      </c>
      <c r="P15" s="496" t="e">
        <f t="shared" si="3"/>
        <v>#N/A</v>
      </c>
      <c r="Q15" s="500"/>
      <c r="R15" s="496" t="e">
        <f>VLOOKUP($A15,[1]Planilha!$A$18:$BK$553,51,FALSE)</f>
        <v>#N/A</v>
      </c>
      <c r="S15" s="496" t="e">
        <f t="shared" si="4"/>
        <v>#N/A</v>
      </c>
      <c r="T15" s="501"/>
      <c r="U15" s="496" t="e">
        <f>VLOOKUP($A15,[1]Planilha!$A$18:$BK$553,59,FALSE)</f>
        <v>#N/A</v>
      </c>
      <c r="V15" s="496" t="e">
        <f t="shared" si="5"/>
        <v>#N/A</v>
      </c>
      <c r="W15" s="500"/>
      <c r="X15" s="496" t="e">
        <f>VLOOKUP($A15,[1]Planilha!$A$18:$BK$553,50,FALSE)</f>
        <v>#N/A</v>
      </c>
      <c r="Y15" s="496" t="e">
        <f t="shared" si="6"/>
        <v>#N/A</v>
      </c>
      <c r="Z15" s="501"/>
      <c r="AA15" s="496" t="e">
        <f>VLOOKUP($A15,[1]Planilha!$A$18:$BK$553,58,FALSE)</f>
        <v>#N/A</v>
      </c>
      <c r="AB15" s="496" t="e">
        <f t="shared" si="7"/>
        <v>#N/A</v>
      </c>
      <c r="AC15" s="500"/>
      <c r="AD15" s="496" t="e">
        <f>VLOOKUP($A15,[1]Planilha!$A$18:$BK$553,49,FALSE)</f>
        <v>#N/A</v>
      </c>
      <c r="AE15" s="496" t="e">
        <f t="shared" si="8"/>
        <v>#N/A</v>
      </c>
      <c r="AF15" s="502"/>
      <c r="AG15" s="261" t="e">
        <f>VLOOKUP($A15,[1]Planilha!$A$18:$BK$553,57,FALSE)</f>
        <v>#N/A</v>
      </c>
      <c r="AH15" s="261" t="e">
        <f t="shared" si="9"/>
        <v>#N/A</v>
      </c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</row>
    <row r="16" spans="1:46" s="124" customFormat="1">
      <c r="A16" s="232">
        <v>7896004754505</v>
      </c>
      <c r="B16" s="126">
        <v>1356906660025</v>
      </c>
      <c r="C16" s="123">
        <v>3296260001</v>
      </c>
      <c r="D16" s="125" t="s">
        <v>767</v>
      </c>
      <c r="E16" s="269">
        <f t="shared" si="18"/>
        <v>85.91</v>
      </c>
      <c r="F16" s="482" t="e">
        <f>VLOOKUP($A16,[1]Planilha!$A$18:$BK$553,54,FALSE)</f>
        <v>#N/A</v>
      </c>
      <c r="G16" s="482" t="e">
        <f t="shared" si="0"/>
        <v>#N/A</v>
      </c>
      <c r="H16" s="269">
        <f t="shared" si="19"/>
        <v>118.77</v>
      </c>
      <c r="I16" s="482" t="e">
        <f>VLOOKUP($A16,[1]Planilha!$A$18:$BK$553,62,FALSE)</f>
        <v>#N/A</v>
      </c>
      <c r="J16" s="482" t="e">
        <f t="shared" si="1"/>
        <v>#N/A</v>
      </c>
      <c r="K16" s="486">
        <v>83.818476000000018</v>
      </c>
      <c r="L16" s="482" t="e">
        <f>VLOOKUP($A16,[1]Planilha!$A$18:$BK$553,52,FALSE)</f>
        <v>#N/A</v>
      </c>
      <c r="M16" s="482" t="e">
        <f t="shared" si="2"/>
        <v>#N/A</v>
      </c>
      <c r="N16" s="269">
        <f>ROUND(K16/0.723358,2)</f>
        <v>115.87</v>
      </c>
      <c r="O16" s="482" t="e">
        <f>VLOOKUP($A16,[1]Planilha!$A$18:$BK$553,60,FALSE)</f>
        <v>#N/A</v>
      </c>
      <c r="P16" s="482" t="e">
        <f t="shared" si="3"/>
        <v>#N/A</v>
      </c>
      <c r="Q16" s="269">
        <f t="shared" si="21"/>
        <v>83.31</v>
      </c>
      <c r="R16" s="482" t="e">
        <f>VLOOKUP($A16,[1]Planilha!$A$18:$BK$553,51,FALSE)</f>
        <v>#N/A</v>
      </c>
      <c r="S16" s="482" t="e">
        <f t="shared" si="4"/>
        <v>#N/A</v>
      </c>
      <c r="T16" s="269">
        <f t="shared" si="22"/>
        <v>115.17</v>
      </c>
      <c r="U16" s="482" t="e">
        <f>VLOOKUP($A16,[1]Planilha!$A$18:$BK$553,59,FALSE)</f>
        <v>#N/A</v>
      </c>
      <c r="V16" s="482" t="e">
        <f t="shared" si="5"/>
        <v>#N/A</v>
      </c>
      <c r="W16" s="269">
        <f t="shared" si="17"/>
        <v>82.81</v>
      </c>
      <c r="X16" s="482" t="e">
        <f>VLOOKUP($A16,[1]Planilha!$A$18:$BK$553,50,FALSE)</f>
        <v>#N/A</v>
      </c>
      <c r="Y16" s="482" t="e">
        <f t="shared" si="6"/>
        <v>#N/A</v>
      </c>
      <c r="Z16" s="269">
        <f t="shared" si="12"/>
        <v>114.48</v>
      </c>
      <c r="AA16" s="482" t="e">
        <f>VLOOKUP($A16,[1]Planilha!$A$18:$BK$553,58,FALSE)</f>
        <v>#N/A</v>
      </c>
      <c r="AB16" s="482" t="e">
        <f t="shared" si="7"/>
        <v>#N/A</v>
      </c>
      <c r="AC16" s="269">
        <f t="shared" si="23"/>
        <v>78.099999999999994</v>
      </c>
      <c r="AD16" s="482" t="e">
        <f>VLOOKUP($A16,[1]Planilha!$A$18:$BK$553,49,FALSE)</f>
        <v>#N/A</v>
      </c>
      <c r="AE16" s="482" t="e">
        <f t="shared" si="8"/>
        <v>#N/A</v>
      </c>
      <c r="AF16" s="270">
        <f t="shared" si="24"/>
        <v>107.97</v>
      </c>
      <c r="AG16" s="482" t="e">
        <f>VLOOKUP($A16,[1]Planilha!$A$18:$BK$553,57,FALSE)</f>
        <v>#N/A</v>
      </c>
      <c r="AH16" s="482" t="e">
        <f t="shared" si="9"/>
        <v>#N/A</v>
      </c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</row>
    <row r="17" spans="1:46" s="124" customFormat="1">
      <c r="A17" s="232">
        <v>7896004755847</v>
      </c>
      <c r="B17" s="126">
        <v>1356906660068</v>
      </c>
      <c r="C17" s="126">
        <v>3296340002</v>
      </c>
      <c r="D17" s="125" t="s">
        <v>768</v>
      </c>
      <c r="E17" s="269">
        <f t="shared" si="18"/>
        <v>61.21</v>
      </c>
      <c r="F17" s="482" t="e">
        <f>VLOOKUP($A17,[1]Planilha!$A$18:$BK$553,54,FALSE)</f>
        <v>#N/A</v>
      </c>
      <c r="G17" s="482" t="e">
        <f t="shared" si="0"/>
        <v>#N/A</v>
      </c>
      <c r="H17" s="269">
        <f t="shared" si="19"/>
        <v>84.62</v>
      </c>
      <c r="I17" s="482" t="e">
        <f>VLOOKUP($A17,[1]Planilha!$A$18:$BK$553,62,FALSE)</f>
        <v>#N/A</v>
      </c>
      <c r="J17" s="482" t="e">
        <f t="shared" si="1"/>
        <v>#N/A</v>
      </c>
      <c r="K17" s="487">
        <v>59.713200000000008</v>
      </c>
      <c r="L17" s="482" t="e">
        <f>VLOOKUP($A17,[1]Planilha!$A$18:$BK$553,52,FALSE)</f>
        <v>#N/A</v>
      </c>
      <c r="M17" s="482" t="e">
        <f t="shared" si="2"/>
        <v>#N/A</v>
      </c>
      <c r="N17" s="269">
        <f>ROUND(K17/0.723358,2)</f>
        <v>82.55</v>
      </c>
      <c r="O17" s="482" t="e">
        <f>VLOOKUP($A17,[1]Planilha!$A$18:$BK$553,60,FALSE)</f>
        <v>#N/A</v>
      </c>
      <c r="P17" s="482" t="e">
        <f t="shared" si="3"/>
        <v>#N/A</v>
      </c>
      <c r="Q17" s="269">
        <f t="shared" si="21"/>
        <v>59.35</v>
      </c>
      <c r="R17" s="482" t="e">
        <f>VLOOKUP($A17,[1]Planilha!$A$18:$BK$553,51,FALSE)</f>
        <v>#N/A</v>
      </c>
      <c r="S17" s="482" t="e">
        <f t="shared" si="4"/>
        <v>#N/A</v>
      </c>
      <c r="T17" s="269">
        <f t="shared" si="22"/>
        <v>82.05</v>
      </c>
      <c r="U17" s="482" t="e">
        <f>VLOOKUP($A17,[1]Planilha!$A$18:$BK$553,59,FALSE)</f>
        <v>#N/A</v>
      </c>
      <c r="V17" s="482" t="e">
        <f t="shared" si="5"/>
        <v>#N/A</v>
      </c>
      <c r="W17" s="269">
        <f t="shared" si="17"/>
        <v>58.99</v>
      </c>
      <c r="X17" s="482" t="e">
        <f>VLOOKUP($A17,[1]Planilha!$A$18:$BK$553,50,FALSE)</f>
        <v>#N/A</v>
      </c>
      <c r="Y17" s="482" t="e">
        <f t="shared" si="6"/>
        <v>#N/A</v>
      </c>
      <c r="Z17" s="269">
        <f t="shared" si="12"/>
        <v>81.55</v>
      </c>
      <c r="AA17" s="482" t="e">
        <f>VLOOKUP($A17,[1]Planilha!$A$18:$BK$553,58,FALSE)</f>
        <v>#N/A</v>
      </c>
      <c r="AB17" s="482" t="e">
        <f t="shared" si="7"/>
        <v>#N/A</v>
      </c>
      <c r="AC17" s="269">
        <f t="shared" si="23"/>
        <v>55.64</v>
      </c>
      <c r="AD17" s="482" t="e">
        <f>VLOOKUP($A17,[1]Planilha!$A$18:$BK$553,49,FALSE)</f>
        <v>#N/A</v>
      </c>
      <c r="AE17" s="482" t="e">
        <f t="shared" si="8"/>
        <v>#N/A</v>
      </c>
      <c r="AF17" s="270">
        <f t="shared" si="24"/>
        <v>76.92</v>
      </c>
      <c r="AG17" s="482" t="e">
        <f>VLOOKUP($A17,[1]Planilha!$A$18:$BK$553,57,FALSE)</f>
        <v>#N/A</v>
      </c>
      <c r="AH17" s="482" t="e">
        <f t="shared" si="9"/>
        <v>#N/A</v>
      </c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</row>
    <row r="18" spans="1:46" s="124" customFormat="1">
      <c r="A18" s="232">
        <v>7896004754499</v>
      </c>
      <c r="B18" s="126">
        <v>1356906660076</v>
      </c>
      <c r="C18" s="128">
        <v>3296340001</v>
      </c>
      <c r="D18" s="215" t="s">
        <v>769</v>
      </c>
      <c r="E18" s="269">
        <f t="shared" si="18"/>
        <v>91.82</v>
      </c>
      <c r="F18" s="482" t="e">
        <f>VLOOKUP($A18,[1]Planilha!$A$18:$BK$553,54,FALSE)</f>
        <v>#N/A</v>
      </c>
      <c r="G18" s="482" t="e">
        <f t="shared" si="0"/>
        <v>#N/A</v>
      </c>
      <c r="H18" s="269">
        <f t="shared" si="19"/>
        <v>126.94</v>
      </c>
      <c r="I18" s="482" t="e">
        <f>VLOOKUP($A18,[1]Planilha!$A$18:$BK$553,62,FALSE)</f>
        <v>#N/A</v>
      </c>
      <c r="J18" s="482" t="e">
        <f t="shared" si="1"/>
        <v>#N/A</v>
      </c>
      <c r="K18" s="488">
        <v>89.580276000000012</v>
      </c>
      <c r="L18" s="482" t="e">
        <f>VLOOKUP($A18,[1]Planilha!$A$18:$BK$553,52,FALSE)</f>
        <v>#N/A</v>
      </c>
      <c r="M18" s="482" t="e">
        <f t="shared" si="2"/>
        <v>#N/A</v>
      </c>
      <c r="N18" s="269">
        <f>ROUND(K18/0.723358,2)</f>
        <v>123.84</v>
      </c>
      <c r="O18" s="482" t="e">
        <f>VLOOKUP($A18,[1]Planilha!$A$18:$BK$553,60,FALSE)</f>
        <v>#N/A</v>
      </c>
      <c r="P18" s="482" t="e">
        <f t="shared" si="3"/>
        <v>#N/A</v>
      </c>
      <c r="Q18" s="269">
        <f t="shared" si="21"/>
        <v>89.04</v>
      </c>
      <c r="R18" s="482" t="e">
        <f>VLOOKUP($A18,[1]Planilha!$A$18:$BK$553,51,FALSE)</f>
        <v>#N/A</v>
      </c>
      <c r="S18" s="482" t="e">
        <f t="shared" si="4"/>
        <v>#N/A</v>
      </c>
      <c r="T18" s="269">
        <f t="shared" si="22"/>
        <v>123.09</v>
      </c>
      <c r="U18" s="482" t="e">
        <f>VLOOKUP($A18,[1]Planilha!$A$18:$BK$553,59,FALSE)</f>
        <v>#N/A</v>
      </c>
      <c r="V18" s="482" t="e">
        <f t="shared" si="5"/>
        <v>#N/A</v>
      </c>
      <c r="W18" s="269">
        <f t="shared" si="17"/>
        <v>88.5</v>
      </c>
      <c r="X18" s="482" t="e">
        <f>VLOOKUP($A18,[1]Planilha!$A$18:$BK$553,50,FALSE)</f>
        <v>#N/A</v>
      </c>
      <c r="Y18" s="482" t="e">
        <f t="shared" si="6"/>
        <v>#N/A</v>
      </c>
      <c r="Z18" s="269">
        <f t="shared" si="12"/>
        <v>122.35</v>
      </c>
      <c r="AA18" s="482" t="e">
        <f>VLOOKUP($A18,[1]Planilha!$A$18:$BK$553,58,FALSE)</f>
        <v>#N/A</v>
      </c>
      <c r="AB18" s="482" t="e">
        <f t="shared" si="7"/>
        <v>#N/A</v>
      </c>
      <c r="AC18" s="269">
        <f t="shared" si="23"/>
        <v>83.47</v>
      </c>
      <c r="AD18" s="482" t="e">
        <f>VLOOKUP($A18,[1]Planilha!$A$18:$BK$553,49,FALSE)</f>
        <v>#N/A</v>
      </c>
      <c r="AE18" s="482" t="e">
        <f t="shared" si="8"/>
        <v>#N/A</v>
      </c>
      <c r="AF18" s="270">
        <f t="shared" si="24"/>
        <v>115.39</v>
      </c>
      <c r="AG18" s="482" t="e">
        <f>VLOOKUP($A18,[1]Planilha!$A$18:$BK$553,57,FALSE)</f>
        <v>#N/A</v>
      </c>
      <c r="AH18" s="482" t="e">
        <f t="shared" si="9"/>
        <v>#N/A</v>
      </c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</row>
    <row r="19" spans="1:46" s="124" customFormat="1" ht="15">
      <c r="A19" s="414"/>
      <c r="B19" s="415" t="s">
        <v>766</v>
      </c>
      <c r="C19" s="415"/>
      <c r="D19" s="416"/>
      <c r="E19" s="500"/>
      <c r="F19" s="261" t="e">
        <f>VLOOKUP($A19,[1]Planilha!$A$18:$BK$553,54,FALSE)</f>
        <v>#N/A</v>
      </c>
      <c r="G19" s="261" t="e">
        <f t="shared" si="0"/>
        <v>#N/A</v>
      </c>
      <c r="H19" s="501"/>
      <c r="I19" s="496" t="e">
        <f>VLOOKUP($A19,[1]Planilha!$A$18:$BK$553,62,FALSE)</f>
        <v>#N/A</v>
      </c>
      <c r="J19" s="496" t="e">
        <f t="shared" si="1"/>
        <v>#N/A</v>
      </c>
      <c r="K19" s="500"/>
      <c r="L19" s="496" t="e">
        <f>VLOOKUP($A19,[1]Planilha!$A$18:$BK$553,52,FALSE)</f>
        <v>#N/A</v>
      </c>
      <c r="M19" s="496" t="e">
        <f t="shared" si="2"/>
        <v>#N/A</v>
      </c>
      <c r="N19" s="501"/>
      <c r="O19" s="496" t="e">
        <f>VLOOKUP($A19,[1]Planilha!$A$18:$BK$553,60,FALSE)</f>
        <v>#N/A</v>
      </c>
      <c r="P19" s="496" t="e">
        <f t="shared" si="3"/>
        <v>#N/A</v>
      </c>
      <c r="Q19" s="500"/>
      <c r="R19" s="496" t="e">
        <f>VLOOKUP($A19,[1]Planilha!$A$18:$BK$553,51,FALSE)</f>
        <v>#N/A</v>
      </c>
      <c r="S19" s="496" t="e">
        <f t="shared" si="4"/>
        <v>#N/A</v>
      </c>
      <c r="T19" s="501"/>
      <c r="U19" s="496" t="e">
        <f>VLOOKUP($A19,[1]Planilha!$A$18:$BK$553,59,FALSE)</f>
        <v>#N/A</v>
      </c>
      <c r="V19" s="496" t="e">
        <f t="shared" si="5"/>
        <v>#N/A</v>
      </c>
      <c r="W19" s="500"/>
      <c r="X19" s="496" t="e">
        <f>VLOOKUP($A19,[1]Planilha!$A$18:$BK$553,50,FALSE)</f>
        <v>#N/A</v>
      </c>
      <c r="Y19" s="496" t="e">
        <f t="shared" si="6"/>
        <v>#N/A</v>
      </c>
      <c r="Z19" s="501"/>
      <c r="AA19" s="496" t="e">
        <f>VLOOKUP($A19,[1]Planilha!$A$18:$BK$553,58,FALSE)</f>
        <v>#N/A</v>
      </c>
      <c r="AB19" s="496" t="e">
        <f t="shared" si="7"/>
        <v>#N/A</v>
      </c>
      <c r="AC19" s="500"/>
      <c r="AD19" s="496" t="e">
        <f>VLOOKUP($A19,[1]Planilha!$A$18:$BK$553,49,FALSE)</f>
        <v>#N/A</v>
      </c>
      <c r="AE19" s="496" t="e">
        <f t="shared" si="8"/>
        <v>#N/A</v>
      </c>
      <c r="AF19" s="502"/>
      <c r="AG19" s="261" t="e">
        <f>VLOOKUP($A19,[1]Planilha!$A$18:$BK$553,57,FALSE)</f>
        <v>#N/A</v>
      </c>
      <c r="AH19" s="261" t="e">
        <f t="shared" si="9"/>
        <v>#N/A</v>
      </c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</row>
    <row r="20" spans="1:46" s="124" customFormat="1">
      <c r="A20" s="232">
        <v>7896004755014</v>
      </c>
      <c r="B20" s="126">
        <v>1356906700027</v>
      </c>
      <c r="C20" s="123">
        <v>3296330001</v>
      </c>
      <c r="D20" s="125" t="s">
        <v>770</v>
      </c>
      <c r="E20" s="269">
        <f t="shared" si="18"/>
        <v>98.2</v>
      </c>
      <c r="F20" s="482" t="e">
        <f>VLOOKUP($A20,[1]Planilha!$A$18:$BK$553,54,FALSE)</f>
        <v>#N/A</v>
      </c>
      <c r="G20" s="482" t="e">
        <f t="shared" si="0"/>
        <v>#N/A</v>
      </c>
      <c r="H20" s="269">
        <f t="shared" si="19"/>
        <v>135.76</v>
      </c>
      <c r="I20" s="482" t="e">
        <f>VLOOKUP($A20,[1]Planilha!$A$18:$BK$553,62,FALSE)</f>
        <v>#N/A</v>
      </c>
      <c r="J20" s="482" t="e">
        <f t="shared" si="1"/>
        <v>#N/A</v>
      </c>
      <c r="K20" s="486">
        <v>95.803020000000018</v>
      </c>
      <c r="L20" s="482" t="e">
        <f>VLOOKUP($A20,[1]Planilha!$A$18:$BK$553,52,FALSE)</f>
        <v>#N/A</v>
      </c>
      <c r="M20" s="482" t="e">
        <f t="shared" si="2"/>
        <v>#N/A</v>
      </c>
      <c r="N20" s="269">
        <f>ROUND(K20/0.723358,2)</f>
        <v>132.44</v>
      </c>
      <c r="O20" s="482" t="e">
        <f>VLOOKUP($A20,[1]Planilha!$A$18:$BK$553,60,FALSE)</f>
        <v>#N/A</v>
      </c>
      <c r="P20" s="482" t="e">
        <f t="shared" si="3"/>
        <v>#N/A</v>
      </c>
      <c r="Q20" s="269">
        <f t="shared" si="21"/>
        <v>95.22</v>
      </c>
      <c r="R20" s="482" t="e">
        <f>VLOOKUP($A20,[1]Planilha!$A$18:$BK$553,51,FALSE)</f>
        <v>#N/A</v>
      </c>
      <c r="S20" s="482" t="e">
        <f t="shared" si="4"/>
        <v>#N/A</v>
      </c>
      <c r="T20" s="269">
        <f t="shared" si="22"/>
        <v>131.63999999999999</v>
      </c>
      <c r="U20" s="482" t="e">
        <f>VLOOKUP($A20,[1]Planilha!$A$18:$BK$553,59,FALSE)</f>
        <v>#N/A</v>
      </c>
      <c r="V20" s="482" t="e">
        <f t="shared" si="5"/>
        <v>#N/A</v>
      </c>
      <c r="W20" s="269">
        <f t="shared" si="17"/>
        <v>94.65</v>
      </c>
      <c r="X20" s="482" t="e">
        <f>VLOOKUP($A20,[1]Planilha!$A$18:$BK$553,50,FALSE)</f>
        <v>#N/A</v>
      </c>
      <c r="Y20" s="482" t="e">
        <f t="shared" si="6"/>
        <v>#N/A</v>
      </c>
      <c r="Z20" s="269">
        <f t="shared" si="12"/>
        <v>130.85</v>
      </c>
      <c r="AA20" s="482" t="e">
        <f>VLOOKUP($A20,[1]Planilha!$A$18:$BK$553,58,FALSE)</f>
        <v>#N/A</v>
      </c>
      <c r="AB20" s="482" t="e">
        <f t="shared" si="7"/>
        <v>#N/A</v>
      </c>
      <c r="AC20" s="269">
        <f t="shared" si="23"/>
        <v>89.27</v>
      </c>
      <c r="AD20" s="482" t="e">
        <f>VLOOKUP($A20,[1]Planilha!$A$18:$BK$553,49,FALSE)</f>
        <v>#N/A</v>
      </c>
      <c r="AE20" s="482" t="e">
        <f t="shared" si="8"/>
        <v>#N/A</v>
      </c>
      <c r="AF20" s="270">
        <f t="shared" si="24"/>
        <v>123.41</v>
      </c>
      <c r="AG20" s="482" t="e">
        <f>VLOOKUP($A20,[1]Planilha!$A$18:$BK$553,57,FALSE)</f>
        <v>#N/A</v>
      </c>
      <c r="AH20" s="482" t="e">
        <f t="shared" si="9"/>
        <v>#N/A</v>
      </c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</row>
    <row r="21" spans="1:46" s="124" customFormat="1">
      <c r="A21" s="232">
        <v>7896004755830</v>
      </c>
      <c r="B21" s="126">
        <v>1356906700061</v>
      </c>
      <c r="C21" s="126">
        <v>3296360002</v>
      </c>
      <c r="D21" s="125" t="s">
        <v>771</v>
      </c>
      <c r="E21" s="269">
        <f t="shared" si="18"/>
        <v>68.040000000000006</v>
      </c>
      <c r="F21" s="482" t="e">
        <f>VLOOKUP($A21,[1]Planilha!$A$18:$BK$553,54,FALSE)</f>
        <v>#N/A</v>
      </c>
      <c r="G21" s="482" t="e">
        <f t="shared" si="0"/>
        <v>#N/A</v>
      </c>
      <c r="H21" s="269">
        <f t="shared" si="19"/>
        <v>94.06</v>
      </c>
      <c r="I21" s="482" t="e">
        <f>VLOOKUP($A21,[1]Planilha!$A$18:$BK$553,62,FALSE)</f>
        <v>#N/A</v>
      </c>
      <c r="J21" s="482" t="e">
        <f t="shared" si="1"/>
        <v>#N/A</v>
      </c>
      <c r="K21" s="487">
        <v>66.37593600000001</v>
      </c>
      <c r="L21" s="482" t="e">
        <f>VLOOKUP($A21,[1]Planilha!$A$18:$BK$553,52,FALSE)</f>
        <v>#N/A</v>
      </c>
      <c r="M21" s="482" t="e">
        <f t="shared" si="2"/>
        <v>#N/A</v>
      </c>
      <c r="N21" s="269">
        <f>ROUND(K21/0.723358,2)</f>
        <v>91.76</v>
      </c>
      <c r="O21" s="482" t="e">
        <f>VLOOKUP($A21,[1]Planilha!$A$18:$BK$553,60,FALSE)</f>
        <v>#N/A</v>
      </c>
      <c r="P21" s="482" t="e">
        <f t="shared" si="3"/>
        <v>#N/A</v>
      </c>
      <c r="Q21" s="269">
        <f t="shared" si="21"/>
        <v>65.97</v>
      </c>
      <c r="R21" s="482" t="e">
        <f>VLOOKUP($A21,[1]Planilha!$A$18:$BK$553,51,FALSE)</f>
        <v>#N/A</v>
      </c>
      <c r="S21" s="482" t="e">
        <f t="shared" si="4"/>
        <v>#N/A</v>
      </c>
      <c r="T21" s="269">
        <f t="shared" si="22"/>
        <v>91.2</v>
      </c>
      <c r="U21" s="482" t="e">
        <f>VLOOKUP($A21,[1]Planilha!$A$18:$BK$553,59,FALSE)</f>
        <v>#N/A</v>
      </c>
      <c r="V21" s="482" t="e">
        <f t="shared" si="5"/>
        <v>#N/A</v>
      </c>
      <c r="W21" s="269">
        <f t="shared" si="17"/>
        <v>65.58</v>
      </c>
      <c r="X21" s="482" t="e">
        <f>VLOOKUP($A21,[1]Planilha!$A$18:$BK$553,50,FALSE)</f>
        <v>#N/A</v>
      </c>
      <c r="Y21" s="482" t="e">
        <f t="shared" si="6"/>
        <v>#N/A</v>
      </c>
      <c r="Z21" s="269">
        <f t="shared" si="12"/>
        <v>90.66</v>
      </c>
      <c r="AA21" s="482" t="e">
        <f>VLOOKUP($A21,[1]Planilha!$A$18:$BK$553,58,FALSE)</f>
        <v>#N/A</v>
      </c>
      <c r="AB21" s="482" t="e">
        <f t="shared" si="7"/>
        <v>#N/A</v>
      </c>
      <c r="AC21" s="269">
        <f t="shared" si="23"/>
        <v>61.85</v>
      </c>
      <c r="AD21" s="482" t="e">
        <f>VLOOKUP($A21,[1]Planilha!$A$18:$BK$553,49,FALSE)</f>
        <v>#N/A</v>
      </c>
      <c r="AE21" s="482" t="e">
        <f t="shared" si="8"/>
        <v>#N/A</v>
      </c>
      <c r="AF21" s="270">
        <f t="shared" si="24"/>
        <v>85.5</v>
      </c>
      <c r="AG21" s="482" t="e">
        <f>VLOOKUP($A21,[1]Planilha!$A$18:$BK$553,57,FALSE)</f>
        <v>#N/A</v>
      </c>
      <c r="AH21" s="482" t="e">
        <f t="shared" si="9"/>
        <v>#N/A</v>
      </c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</row>
    <row r="22" spans="1:46" s="124" customFormat="1">
      <c r="A22" s="232">
        <v>7896004755007</v>
      </c>
      <c r="B22" s="126">
        <v>1356906700078</v>
      </c>
      <c r="C22" s="128">
        <v>3296360001</v>
      </c>
      <c r="D22" s="215" t="s">
        <v>772</v>
      </c>
      <c r="E22" s="269">
        <f t="shared" si="18"/>
        <v>102.05</v>
      </c>
      <c r="F22" s="482" t="e">
        <f>VLOOKUP($A22,[1]Planilha!$A$18:$BK$553,54,FALSE)</f>
        <v>#N/A</v>
      </c>
      <c r="G22" s="482" t="e">
        <f t="shared" si="0"/>
        <v>#N/A</v>
      </c>
      <c r="H22" s="269">
        <f t="shared" si="19"/>
        <v>141.08000000000001</v>
      </c>
      <c r="I22" s="482" t="e">
        <f>VLOOKUP($A22,[1]Planilha!$A$18:$BK$553,62,FALSE)</f>
        <v>#N/A</v>
      </c>
      <c r="J22" s="482" t="e">
        <f t="shared" si="1"/>
        <v>#N/A</v>
      </c>
      <c r="K22" s="488">
        <v>99.563904000000008</v>
      </c>
      <c r="L22" s="482" t="e">
        <f>VLOOKUP($A22,[1]Planilha!$A$18:$BK$553,52,FALSE)</f>
        <v>#N/A</v>
      </c>
      <c r="M22" s="482" t="e">
        <f t="shared" si="2"/>
        <v>#N/A</v>
      </c>
      <c r="N22" s="269">
        <f>ROUND(K22/0.723358,2)</f>
        <v>137.63999999999999</v>
      </c>
      <c r="O22" s="482" t="e">
        <f>VLOOKUP($A22,[1]Planilha!$A$18:$BK$553,60,FALSE)</f>
        <v>#N/A</v>
      </c>
      <c r="P22" s="482" t="e">
        <f t="shared" si="3"/>
        <v>#N/A</v>
      </c>
      <c r="Q22" s="269">
        <f t="shared" si="21"/>
        <v>98.96</v>
      </c>
      <c r="R22" s="482" t="e">
        <f>VLOOKUP($A22,[1]Planilha!$A$18:$BK$553,51,FALSE)</f>
        <v>#N/A</v>
      </c>
      <c r="S22" s="482" t="e">
        <f t="shared" si="4"/>
        <v>#N/A</v>
      </c>
      <c r="T22" s="269">
        <f t="shared" si="22"/>
        <v>136.81</v>
      </c>
      <c r="U22" s="482" t="e">
        <f>VLOOKUP($A22,[1]Planilha!$A$18:$BK$553,59,FALSE)</f>
        <v>#N/A</v>
      </c>
      <c r="V22" s="482" t="e">
        <f t="shared" si="5"/>
        <v>#N/A</v>
      </c>
      <c r="W22" s="269">
        <f t="shared" si="17"/>
        <v>98.36</v>
      </c>
      <c r="X22" s="482" t="e">
        <f>VLOOKUP($A22,[1]Planilha!$A$18:$BK$553,50,FALSE)</f>
        <v>#N/A</v>
      </c>
      <c r="Y22" s="482" t="e">
        <f t="shared" si="6"/>
        <v>#N/A</v>
      </c>
      <c r="Z22" s="269">
        <f t="shared" si="12"/>
        <v>135.97999999999999</v>
      </c>
      <c r="AA22" s="482" t="e">
        <f>VLOOKUP($A22,[1]Planilha!$A$18:$BK$553,58,FALSE)</f>
        <v>#N/A</v>
      </c>
      <c r="AB22" s="482" t="e">
        <f t="shared" si="7"/>
        <v>#N/A</v>
      </c>
      <c r="AC22" s="269">
        <f t="shared" si="23"/>
        <v>92.78</v>
      </c>
      <c r="AD22" s="482" t="e">
        <f>VLOOKUP($A22,[1]Planilha!$A$18:$BK$553,49,FALSE)</f>
        <v>#N/A</v>
      </c>
      <c r="AE22" s="482" t="e">
        <f t="shared" si="8"/>
        <v>#N/A</v>
      </c>
      <c r="AF22" s="270">
        <f t="shared" si="24"/>
        <v>128.26</v>
      </c>
      <c r="AG22" s="482" t="e">
        <f>VLOOKUP($A22,[1]Planilha!$A$18:$BK$553,57,FALSE)</f>
        <v>#N/A</v>
      </c>
      <c r="AH22" s="482" t="e">
        <f t="shared" si="9"/>
        <v>#N/A</v>
      </c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</row>
    <row r="23" spans="1:46" s="124" customFormat="1" ht="15">
      <c r="A23" s="414"/>
      <c r="B23" s="105" t="s">
        <v>416</v>
      </c>
      <c r="C23" s="105"/>
      <c r="D23" s="106"/>
      <c r="E23" s="188"/>
      <c r="F23" s="261" t="e">
        <f>VLOOKUP($A23,[1]Planilha!$A$18:$BK$553,54,FALSE)</f>
        <v>#N/A</v>
      </c>
      <c r="G23" s="261" t="e">
        <f t="shared" si="0"/>
        <v>#N/A</v>
      </c>
      <c r="H23" s="189"/>
      <c r="I23" s="261" t="e">
        <f>VLOOKUP($A23,[1]Planilha!$A$18:$BK$553,62,FALSE)</f>
        <v>#N/A</v>
      </c>
      <c r="J23" s="261" t="e">
        <f t="shared" si="1"/>
        <v>#N/A</v>
      </c>
      <c r="K23" s="188"/>
      <c r="L23" s="261" t="e">
        <f>VLOOKUP($A23,[1]Planilha!$A$18:$BK$553,52,FALSE)</f>
        <v>#N/A</v>
      </c>
      <c r="M23" s="261" t="e">
        <f t="shared" si="2"/>
        <v>#N/A</v>
      </c>
      <c r="N23" s="189"/>
      <c r="O23" s="261" t="e">
        <f>VLOOKUP($A23,[1]Planilha!$A$18:$BK$553,60,FALSE)</f>
        <v>#N/A</v>
      </c>
      <c r="P23" s="261" t="e">
        <f t="shared" si="3"/>
        <v>#N/A</v>
      </c>
      <c r="Q23" s="188"/>
      <c r="R23" s="261" t="e">
        <f>VLOOKUP($A23,[1]Planilha!$A$18:$BK$553,51,FALSE)</f>
        <v>#N/A</v>
      </c>
      <c r="S23" s="261" t="e">
        <f t="shared" si="4"/>
        <v>#N/A</v>
      </c>
      <c r="T23" s="189"/>
      <c r="U23" s="261" t="e">
        <f>VLOOKUP($A23,[1]Planilha!$A$18:$BK$553,59,FALSE)</f>
        <v>#N/A</v>
      </c>
      <c r="V23" s="261" t="e">
        <f t="shared" si="5"/>
        <v>#N/A</v>
      </c>
      <c r="W23" s="188"/>
      <c r="X23" s="261" t="e">
        <f>VLOOKUP($A23,[1]Planilha!$A$18:$BK$553,50,FALSE)</f>
        <v>#N/A</v>
      </c>
      <c r="Y23" s="261" t="e">
        <f t="shared" si="6"/>
        <v>#N/A</v>
      </c>
      <c r="Z23" s="189"/>
      <c r="AA23" s="261" t="e">
        <f>VLOOKUP($A23,[1]Planilha!$A$18:$BK$553,58,FALSE)</f>
        <v>#N/A</v>
      </c>
      <c r="AB23" s="261" t="e">
        <f t="shared" si="7"/>
        <v>#N/A</v>
      </c>
      <c r="AC23" s="188"/>
      <c r="AD23" s="261" t="e">
        <f>VLOOKUP($A23,[1]Planilha!$A$18:$BK$553,49,FALSE)</f>
        <v>#N/A</v>
      </c>
      <c r="AE23" s="261" t="e">
        <f t="shared" si="8"/>
        <v>#N/A</v>
      </c>
      <c r="AF23" s="191"/>
      <c r="AG23" s="261" t="e">
        <f>VLOOKUP($A23,[1]Planilha!$A$18:$BK$553,57,FALSE)</f>
        <v>#N/A</v>
      </c>
      <c r="AH23" s="261" t="e">
        <f t="shared" si="9"/>
        <v>#N/A</v>
      </c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</row>
    <row r="24" spans="1:46" s="124" customFormat="1">
      <c r="A24" s="678">
        <v>7891721013553</v>
      </c>
      <c r="B24" s="126">
        <v>1008903450020</v>
      </c>
      <c r="C24" s="117" t="s">
        <v>497</v>
      </c>
      <c r="D24" s="214" t="s">
        <v>417</v>
      </c>
      <c r="E24" s="273">
        <f>ROUND(K24*1.025,2)</f>
        <v>76.459999999999994</v>
      </c>
      <c r="F24" s="261">
        <f>VLOOKUP($A24,[1]Planilha!$A$18:$BK$553,54,FALSE)</f>
        <v>75.52</v>
      </c>
      <c r="G24" s="261">
        <f t="shared" si="0"/>
        <v>0.93999999999999773</v>
      </c>
      <c r="H24" s="273">
        <f>ROUND(E24/0.723358,2)</f>
        <v>105.7</v>
      </c>
      <c r="I24" s="261">
        <f>VLOOKUP($A24,[1]Planilha!$A$18:$BK$553,62,FALSE)</f>
        <v>105.7</v>
      </c>
      <c r="J24" s="261">
        <f t="shared" si="1"/>
        <v>0</v>
      </c>
      <c r="K24" s="273">
        <f>VLOOKUP(A24,[2]Plan1!$H$2:$J$279,3,FALSE)</f>
        <v>74.599596000000005</v>
      </c>
      <c r="L24" s="261">
        <f>VLOOKUP($A24,[1]Planilha!$A$18:$BK$553,52,FALSE)</f>
        <v>74.599999999999994</v>
      </c>
      <c r="M24" s="261">
        <f t="shared" si="2"/>
        <v>-4.0399999998896874E-4</v>
      </c>
      <c r="N24" s="273">
        <f>ROUND(K24/0.723358,2)</f>
        <v>103.13</v>
      </c>
      <c r="O24" s="261">
        <f>VLOOKUP($A24,[1]Planilha!$A$18:$BK$553,60,FALSE)</f>
        <v>103.13</v>
      </c>
      <c r="P24" s="261">
        <f t="shared" si="3"/>
        <v>0</v>
      </c>
      <c r="Q24" s="273">
        <f>ROUND(K24*0.993939,2)</f>
        <v>74.150000000000006</v>
      </c>
      <c r="R24" s="261">
        <f>VLOOKUP($A24,[1]Planilha!$A$18:$BK$553,51,FALSE)</f>
        <v>74.150000000000006</v>
      </c>
      <c r="S24" s="261">
        <f t="shared" si="4"/>
        <v>0</v>
      </c>
      <c r="T24" s="273">
        <f>ROUND(Q24/0.723358,2)</f>
        <v>102.51</v>
      </c>
      <c r="U24" s="261">
        <f>VLOOKUP($A24,[1]Planilha!$A$18:$BK$553,59,FALSE)</f>
        <v>102.51</v>
      </c>
      <c r="V24" s="261">
        <f t="shared" si="5"/>
        <v>0</v>
      </c>
      <c r="W24" s="273">
        <f t="shared" si="17"/>
        <v>73.7</v>
      </c>
      <c r="X24" s="261">
        <f>VLOOKUP($A24,[1]Planilha!$A$18:$BK$553,50,FALSE)</f>
        <v>73.7</v>
      </c>
      <c r="Y24" s="261">
        <f t="shared" si="6"/>
        <v>0</v>
      </c>
      <c r="Z24" s="273">
        <f t="shared" si="12"/>
        <v>101.89</v>
      </c>
      <c r="AA24" s="261">
        <f>VLOOKUP($A24,[1]Planilha!$A$18:$BK$553,58,FALSE)</f>
        <v>101.89</v>
      </c>
      <c r="AB24" s="261">
        <f t="shared" si="7"/>
        <v>0</v>
      </c>
      <c r="AC24" s="273">
        <f>ROUND(K24*0.931818,2)</f>
        <v>69.510000000000005</v>
      </c>
      <c r="AD24" s="261">
        <f>VLOOKUP($A24,[1]Planilha!$A$18:$BK$553,49,FALSE)</f>
        <v>69.510000000000005</v>
      </c>
      <c r="AE24" s="261">
        <f t="shared" si="8"/>
        <v>0</v>
      </c>
      <c r="AF24" s="274">
        <f>ROUND(AC24/0.723358,2)</f>
        <v>96.09</v>
      </c>
      <c r="AG24" s="261">
        <f>VLOOKUP($A24,[1]Planilha!$A$18:$BK$553,57,FALSE)</f>
        <v>96.09</v>
      </c>
      <c r="AH24" s="261">
        <f t="shared" si="9"/>
        <v>0</v>
      </c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</row>
    <row r="25" spans="1:46" s="124" customFormat="1" ht="15">
      <c r="A25" s="414"/>
      <c r="B25" s="105" t="s">
        <v>301</v>
      </c>
      <c r="C25" s="105"/>
      <c r="D25" s="106"/>
      <c r="E25" s="188"/>
      <c r="F25" s="261" t="e">
        <f>VLOOKUP($A25,[1]Planilha!$A$18:$BK$553,54,FALSE)</f>
        <v>#N/A</v>
      </c>
      <c r="G25" s="261" t="e">
        <f t="shared" si="0"/>
        <v>#N/A</v>
      </c>
      <c r="H25" s="189"/>
      <c r="I25" s="261" t="e">
        <f>VLOOKUP($A25,[1]Planilha!$A$18:$BK$553,62,FALSE)</f>
        <v>#N/A</v>
      </c>
      <c r="J25" s="261" t="e">
        <f t="shared" si="1"/>
        <v>#N/A</v>
      </c>
      <c r="K25" s="188"/>
      <c r="L25" s="261" t="e">
        <f>VLOOKUP($A25,[1]Planilha!$A$18:$BK$553,52,FALSE)</f>
        <v>#N/A</v>
      </c>
      <c r="M25" s="261" t="e">
        <f t="shared" si="2"/>
        <v>#N/A</v>
      </c>
      <c r="N25" s="189"/>
      <c r="O25" s="261" t="e">
        <f>VLOOKUP($A25,[1]Planilha!$A$18:$BK$553,60,FALSE)</f>
        <v>#N/A</v>
      </c>
      <c r="P25" s="261" t="e">
        <f t="shared" si="3"/>
        <v>#N/A</v>
      </c>
      <c r="Q25" s="188"/>
      <c r="R25" s="261" t="e">
        <f>VLOOKUP($A25,[1]Planilha!$A$18:$BK$553,51,FALSE)</f>
        <v>#N/A</v>
      </c>
      <c r="S25" s="261" t="e">
        <f t="shared" si="4"/>
        <v>#N/A</v>
      </c>
      <c r="T25" s="189"/>
      <c r="U25" s="261" t="e">
        <f>VLOOKUP($A25,[1]Planilha!$A$18:$BK$553,59,FALSE)</f>
        <v>#N/A</v>
      </c>
      <c r="V25" s="261" t="e">
        <f t="shared" si="5"/>
        <v>#N/A</v>
      </c>
      <c r="W25" s="188"/>
      <c r="X25" s="261" t="e">
        <f>VLOOKUP($A25,[1]Planilha!$A$18:$BK$553,50,FALSE)</f>
        <v>#N/A</v>
      </c>
      <c r="Y25" s="261" t="e">
        <f t="shared" si="6"/>
        <v>#N/A</v>
      </c>
      <c r="Z25" s="189"/>
      <c r="AA25" s="261" t="e">
        <f>VLOOKUP($A25,[1]Planilha!$A$18:$BK$553,58,FALSE)</f>
        <v>#N/A</v>
      </c>
      <c r="AB25" s="261" t="e">
        <f t="shared" si="7"/>
        <v>#N/A</v>
      </c>
      <c r="AC25" s="188"/>
      <c r="AD25" s="261" t="e">
        <f>VLOOKUP($A25,[1]Planilha!$A$18:$BK$553,49,FALSE)</f>
        <v>#N/A</v>
      </c>
      <c r="AE25" s="261" t="e">
        <f t="shared" si="8"/>
        <v>#N/A</v>
      </c>
      <c r="AF25" s="191"/>
      <c r="AG25" s="261" t="e">
        <f>VLOOKUP($A25,[1]Planilha!$A$18:$BK$553,57,FALSE)</f>
        <v>#N/A</v>
      </c>
      <c r="AH25" s="261" t="e">
        <f t="shared" si="9"/>
        <v>#N/A</v>
      </c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</row>
    <row r="26" spans="1:46" s="124" customFormat="1">
      <c r="A26" s="678">
        <v>7891721013447</v>
      </c>
      <c r="B26" s="126">
        <v>1008900120089</v>
      </c>
      <c r="C26" s="117" t="s">
        <v>388</v>
      </c>
      <c r="D26" s="214" t="s">
        <v>496</v>
      </c>
      <c r="E26" s="273">
        <f>ROUND(K26*1.025,2)</f>
        <v>47.53</v>
      </c>
      <c r="F26" s="261">
        <f>VLOOKUP($A26,[1]Planilha!$A$18:$BK$553,54,FALSE)</f>
        <v>46.94</v>
      </c>
      <c r="G26" s="261">
        <f t="shared" si="0"/>
        <v>0.59000000000000341</v>
      </c>
      <c r="H26" s="273">
        <f>ROUND(E26/0.723358,2)</f>
        <v>65.709999999999994</v>
      </c>
      <c r="I26" s="261">
        <f>VLOOKUP($A26,[1]Planilha!$A$18:$BK$553,62,FALSE)</f>
        <v>65.709999999999994</v>
      </c>
      <c r="J26" s="261">
        <f t="shared" si="1"/>
        <v>0</v>
      </c>
      <c r="K26" s="273">
        <f>VLOOKUP(A26,[2]Plan1!$H$2:$J$279,3,FALSE)</f>
        <v>46.366776000000002</v>
      </c>
      <c r="L26" s="261">
        <f>VLOOKUP($A26,[1]Planilha!$A$18:$BK$553,52,FALSE)</f>
        <v>46.37</v>
      </c>
      <c r="M26" s="261">
        <f t="shared" si="2"/>
        <v>-3.2239999999958968E-3</v>
      </c>
      <c r="N26" s="273">
        <f>ROUND(K26/0.723358,2)</f>
        <v>64.099999999999994</v>
      </c>
      <c r="O26" s="261">
        <f>VLOOKUP($A26,[1]Planilha!$A$18:$BK$553,60,FALSE)</f>
        <v>64.099999999999994</v>
      </c>
      <c r="P26" s="261">
        <f t="shared" si="3"/>
        <v>0</v>
      </c>
      <c r="Q26" s="485">
        <v>46.08</v>
      </c>
      <c r="R26" s="261">
        <f>VLOOKUP($A26,[1]Planilha!$A$18:$BK$553,51,FALSE)</f>
        <v>46.08</v>
      </c>
      <c r="S26" s="261">
        <f t="shared" si="4"/>
        <v>0</v>
      </c>
      <c r="T26" s="273">
        <f>ROUND(Q26/0.723358,2)</f>
        <v>63.7</v>
      </c>
      <c r="U26" s="261">
        <f>VLOOKUP($A26,[1]Planilha!$A$18:$BK$553,59,FALSE)</f>
        <v>63.7</v>
      </c>
      <c r="V26" s="261">
        <f t="shared" si="5"/>
        <v>0</v>
      </c>
      <c r="W26" s="273">
        <f t="shared" si="17"/>
        <v>45.81</v>
      </c>
      <c r="X26" s="261">
        <f>VLOOKUP($A26,[1]Planilha!$A$18:$BK$553,50,FALSE)</f>
        <v>45.81</v>
      </c>
      <c r="Y26" s="261">
        <f t="shared" si="6"/>
        <v>0</v>
      </c>
      <c r="Z26" s="273">
        <f t="shared" si="12"/>
        <v>63.33</v>
      </c>
      <c r="AA26" s="261">
        <f>VLOOKUP($A26,[1]Planilha!$A$18:$BK$553,58,FALSE)</f>
        <v>63.33</v>
      </c>
      <c r="AB26" s="261">
        <f t="shared" si="7"/>
        <v>0</v>
      </c>
      <c r="AC26" s="485">
        <v>43.2</v>
      </c>
      <c r="AD26" s="261">
        <f>VLOOKUP($A26,[1]Planilha!$A$18:$BK$553,49,FALSE)</f>
        <v>43.2</v>
      </c>
      <c r="AE26" s="261">
        <f t="shared" si="8"/>
        <v>0</v>
      </c>
      <c r="AF26" s="274">
        <f>ROUND(AC26/0.723358,2)</f>
        <v>59.72</v>
      </c>
      <c r="AG26" s="261">
        <f>VLOOKUP($A26,[1]Planilha!$A$18:$BK$553,57,FALSE)</f>
        <v>59.72</v>
      </c>
      <c r="AH26" s="261">
        <f t="shared" si="9"/>
        <v>0</v>
      </c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</row>
    <row r="27" spans="1:46" s="124" customFormat="1" ht="15">
      <c r="A27" s="414"/>
      <c r="B27" s="105" t="s">
        <v>302</v>
      </c>
      <c r="C27" s="105"/>
      <c r="D27" s="106"/>
      <c r="E27" s="188"/>
      <c r="F27" s="261" t="e">
        <f>VLOOKUP($A27,[1]Planilha!$A$18:$BK$553,54,FALSE)</f>
        <v>#N/A</v>
      </c>
      <c r="G27" s="261" t="e">
        <f t="shared" si="0"/>
        <v>#N/A</v>
      </c>
      <c r="H27" s="189"/>
      <c r="I27" s="261" t="e">
        <f>VLOOKUP($A27,[1]Planilha!$A$18:$BK$553,62,FALSE)</f>
        <v>#N/A</v>
      </c>
      <c r="J27" s="261" t="e">
        <f t="shared" si="1"/>
        <v>#N/A</v>
      </c>
      <c r="K27" s="188"/>
      <c r="L27" s="261" t="e">
        <f>VLOOKUP($A27,[1]Planilha!$A$18:$BK$553,52,FALSE)</f>
        <v>#N/A</v>
      </c>
      <c r="M27" s="261" t="e">
        <f t="shared" si="2"/>
        <v>#N/A</v>
      </c>
      <c r="N27" s="189"/>
      <c r="O27" s="261" t="e">
        <f>VLOOKUP($A27,[1]Planilha!$A$18:$BK$553,60,FALSE)</f>
        <v>#N/A</v>
      </c>
      <c r="P27" s="261" t="e">
        <f t="shared" si="3"/>
        <v>#N/A</v>
      </c>
      <c r="Q27" s="188"/>
      <c r="R27" s="261" t="e">
        <f>VLOOKUP($A27,[1]Planilha!$A$18:$BK$553,51,FALSE)</f>
        <v>#N/A</v>
      </c>
      <c r="S27" s="261" t="e">
        <f t="shared" si="4"/>
        <v>#N/A</v>
      </c>
      <c r="T27" s="189"/>
      <c r="U27" s="261" t="e">
        <f>VLOOKUP($A27,[1]Planilha!$A$18:$BK$553,59,FALSE)</f>
        <v>#N/A</v>
      </c>
      <c r="V27" s="261" t="e">
        <f t="shared" si="5"/>
        <v>#N/A</v>
      </c>
      <c r="W27" s="188"/>
      <c r="X27" s="261" t="e">
        <f>VLOOKUP($A27,[1]Planilha!$A$18:$BK$553,50,FALSE)</f>
        <v>#N/A</v>
      </c>
      <c r="Y27" s="261" t="e">
        <f t="shared" si="6"/>
        <v>#N/A</v>
      </c>
      <c r="Z27" s="189"/>
      <c r="AA27" s="261" t="e">
        <f>VLOOKUP($A27,[1]Planilha!$A$18:$BK$553,58,FALSE)</f>
        <v>#N/A</v>
      </c>
      <c r="AB27" s="261" t="e">
        <f t="shared" si="7"/>
        <v>#N/A</v>
      </c>
      <c r="AC27" s="188"/>
      <c r="AD27" s="261" t="e">
        <f>VLOOKUP($A27,[1]Planilha!$A$18:$BK$553,49,FALSE)</f>
        <v>#N/A</v>
      </c>
      <c r="AE27" s="261" t="e">
        <f t="shared" si="8"/>
        <v>#N/A</v>
      </c>
      <c r="AF27" s="191"/>
      <c r="AG27" s="261" t="e">
        <f>VLOOKUP($A27,[1]Planilha!$A$18:$BK$553,57,FALSE)</f>
        <v>#N/A</v>
      </c>
      <c r="AH27" s="261" t="e">
        <f t="shared" si="9"/>
        <v>#N/A</v>
      </c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</row>
    <row r="28" spans="1:46" s="124" customFormat="1">
      <c r="A28" s="232">
        <v>7891721027253</v>
      </c>
      <c r="B28" s="147">
        <v>1008900720086</v>
      </c>
      <c r="C28" s="117" t="s">
        <v>389</v>
      </c>
      <c r="D28" s="214" t="s">
        <v>547</v>
      </c>
      <c r="E28" s="496">
        <f>ROUND(K28*1.025,2)</f>
        <v>578.97</v>
      </c>
      <c r="F28" s="496">
        <f>VLOOKUP($A28,[1]Planilha!$A$18:$BK$553,54,FALSE)</f>
        <v>571.82000000000005</v>
      </c>
      <c r="G28" s="496">
        <f t="shared" si="0"/>
        <v>7.1499999999999773</v>
      </c>
      <c r="H28" s="497" t="s">
        <v>563</v>
      </c>
      <c r="I28" s="496">
        <f>VLOOKUP($A28,[1]Planilha!$A$18:$BK$553,62,FALSE)</f>
        <v>800.39</v>
      </c>
      <c r="J28" s="496" t="e">
        <f t="shared" si="1"/>
        <v>#VALUE!</v>
      </c>
      <c r="K28" s="496">
        <f>VLOOKUP(A28,[2]Plan1!$H$2:$J$279,3,FALSE)</f>
        <v>564.84496799999999</v>
      </c>
      <c r="L28" s="496">
        <f>VLOOKUP($A28,[1]Planilha!$A$18:$BK$553,52,FALSE)</f>
        <v>564.84</v>
      </c>
      <c r="M28" s="496">
        <f t="shared" si="2"/>
        <v>4.9679999999625579E-3</v>
      </c>
      <c r="N28" s="497" t="s">
        <v>563</v>
      </c>
      <c r="O28" s="496">
        <f>VLOOKUP($A28,[1]Planilha!$A$18:$BK$553,60,FALSE)</f>
        <v>780.86</v>
      </c>
      <c r="P28" s="496">
        <v>0</v>
      </c>
      <c r="Q28" s="496">
        <f>ROUND(K28*0.993939,2)</f>
        <v>561.41999999999996</v>
      </c>
      <c r="R28" s="496">
        <f>VLOOKUP($A28,[1]Planilha!$A$18:$BK$553,51,FALSE)</f>
        <v>561.41999999999996</v>
      </c>
      <c r="S28" s="496">
        <f t="shared" si="4"/>
        <v>0</v>
      </c>
      <c r="T28" s="497" t="s">
        <v>563</v>
      </c>
      <c r="U28" s="496">
        <f>VLOOKUP($A28,[1]Planilha!$A$18:$BK$553,59,FALSE)</f>
        <v>776.13</v>
      </c>
      <c r="V28" s="496" t="e">
        <f t="shared" si="5"/>
        <v>#VALUE!</v>
      </c>
      <c r="W28" s="496">
        <f t="shared" si="17"/>
        <v>558.04</v>
      </c>
      <c r="X28" s="496">
        <f>VLOOKUP($A28,[1]Planilha!$A$18:$BK$553,50,FALSE)</f>
        <v>558.04</v>
      </c>
      <c r="Y28" s="496">
        <f t="shared" si="6"/>
        <v>0</v>
      </c>
      <c r="Z28" s="497" t="s">
        <v>563</v>
      </c>
      <c r="AA28" s="496">
        <f>VLOOKUP($A28,[1]Planilha!$A$18:$BK$553,58,FALSE)</f>
        <v>771.46</v>
      </c>
      <c r="AB28" s="496" t="e">
        <f t="shared" si="7"/>
        <v>#VALUE!</v>
      </c>
      <c r="AC28" s="496">
        <f>ROUND(K28*0.931818,2)</f>
        <v>526.33000000000004</v>
      </c>
      <c r="AD28" s="496">
        <f>VLOOKUP($A28,[1]Planilha!$A$18:$BK$553,49,FALSE)</f>
        <v>526.33000000000004</v>
      </c>
      <c r="AE28" s="496">
        <f t="shared" si="8"/>
        <v>0</v>
      </c>
      <c r="AF28" s="498" t="s">
        <v>563</v>
      </c>
      <c r="AG28" s="496">
        <f>VLOOKUP($A28,[1]Planilha!$A$18:$BK$553,57,FALSE)</f>
        <v>727.62</v>
      </c>
      <c r="AH28" s="496" t="e">
        <f t="shared" si="9"/>
        <v>#VALUE!</v>
      </c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</row>
    <row r="29" spans="1:46" s="124" customFormat="1" ht="15">
      <c r="A29" s="414"/>
      <c r="B29" s="105" t="s">
        <v>304</v>
      </c>
      <c r="C29" s="105"/>
      <c r="D29" s="106"/>
      <c r="E29" s="188"/>
      <c r="F29" s="261" t="e">
        <f>VLOOKUP($A29,[1]Planilha!$A$18:$BK$553,54,FALSE)</f>
        <v>#N/A</v>
      </c>
      <c r="G29" s="261" t="e">
        <f t="shared" si="0"/>
        <v>#N/A</v>
      </c>
      <c r="H29" s="189"/>
      <c r="I29" s="261" t="e">
        <f>VLOOKUP($A29,[1]Planilha!$A$18:$BK$553,62,FALSE)</f>
        <v>#N/A</v>
      </c>
      <c r="J29" s="261" t="e">
        <f t="shared" si="1"/>
        <v>#N/A</v>
      </c>
      <c r="K29" s="188"/>
      <c r="L29" s="261" t="e">
        <f>VLOOKUP($A29,[1]Planilha!$A$18:$BK$553,52,FALSE)</f>
        <v>#N/A</v>
      </c>
      <c r="M29" s="261" t="e">
        <f t="shared" si="2"/>
        <v>#N/A</v>
      </c>
      <c r="N29" s="189"/>
      <c r="O29" s="261" t="e">
        <f>VLOOKUP($A29,[1]Planilha!$A$18:$BK$553,60,FALSE)</f>
        <v>#N/A</v>
      </c>
      <c r="P29" s="261" t="e">
        <f t="shared" si="3"/>
        <v>#N/A</v>
      </c>
      <c r="Q29" s="188"/>
      <c r="R29" s="261" t="e">
        <f>VLOOKUP($A29,[1]Planilha!$A$18:$BK$553,51,FALSE)</f>
        <v>#N/A</v>
      </c>
      <c r="S29" s="261" t="e">
        <f t="shared" si="4"/>
        <v>#N/A</v>
      </c>
      <c r="T29" s="189"/>
      <c r="U29" s="261" t="e">
        <f>VLOOKUP($A29,[1]Planilha!$A$18:$BK$553,59,FALSE)</f>
        <v>#N/A</v>
      </c>
      <c r="V29" s="261" t="e">
        <f t="shared" si="5"/>
        <v>#N/A</v>
      </c>
      <c r="W29" s="188"/>
      <c r="X29" s="261" t="e">
        <f>VLOOKUP($A29,[1]Planilha!$A$18:$BK$553,50,FALSE)</f>
        <v>#N/A</v>
      </c>
      <c r="Y29" s="261" t="e">
        <f t="shared" si="6"/>
        <v>#N/A</v>
      </c>
      <c r="Z29" s="189"/>
      <c r="AA29" s="261" t="e">
        <f>VLOOKUP($A29,[1]Planilha!$A$18:$BK$553,58,FALSE)</f>
        <v>#N/A</v>
      </c>
      <c r="AB29" s="261" t="e">
        <f t="shared" si="7"/>
        <v>#N/A</v>
      </c>
      <c r="AC29" s="188"/>
      <c r="AD29" s="261" t="e">
        <f>VLOOKUP($A29,[1]Planilha!$A$18:$BK$553,49,FALSE)</f>
        <v>#N/A</v>
      </c>
      <c r="AE29" s="261" t="e">
        <f t="shared" si="8"/>
        <v>#N/A</v>
      </c>
      <c r="AF29" s="191"/>
      <c r="AG29" s="261" t="e">
        <f>VLOOKUP($A29,[1]Planilha!$A$18:$BK$553,57,FALSE)</f>
        <v>#N/A</v>
      </c>
      <c r="AH29" s="261" t="e">
        <f t="shared" si="9"/>
        <v>#N/A</v>
      </c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</row>
    <row r="30" spans="1:46" s="124" customFormat="1">
      <c r="A30" s="233">
        <v>7891721001994</v>
      </c>
      <c r="B30" s="126" t="s">
        <v>32</v>
      </c>
      <c r="C30" s="117" t="s">
        <v>390</v>
      </c>
      <c r="D30" s="214" t="s">
        <v>290</v>
      </c>
      <c r="E30" s="265">
        <f t="shared" ref="E30:E32" si="25">ROUND(K30*1.025,2)</f>
        <v>16.059999999999999</v>
      </c>
      <c r="F30" s="261">
        <f>VLOOKUP($A30,[1]Planilha!$A$18:$BK$553,54,FALSE)</f>
        <v>15.87</v>
      </c>
      <c r="G30" s="261">
        <f t="shared" si="0"/>
        <v>0.1899999999999995</v>
      </c>
      <c r="H30" s="265">
        <f t="shared" ref="H30:H32" si="26">ROUND(E30/0.723358,2)</f>
        <v>22.2</v>
      </c>
      <c r="I30" s="261">
        <f>VLOOKUP($A30,[1]Planilha!$A$18:$BK$553,62,FALSE)</f>
        <v>22.2</v>
      </c>
      <c r="J30" s="261">
        <f t="shared" si="1"/>
        <v>0</v>
      </c>
      <c r="K30" s="265">
        <f>VLOOKUP(A30,[2]Plan1!$H$2:$J$279,3,FALSE)</f>
        <v>15.672096000000002</v>
      </c>
      <c r="L30" s="261">
        <f>VLOOKUP($A30,[1]Planilha!$A$18:$BK$553,52,FALSE)</f>
        <v>15.67</v>
      </c>
      <c r="M30" s="261">
        <f t="shared" si="2"/>
        <v>2.0960000000016521E-3</v>
      </c>
      <c r="N30" s="265">
        <f t="shared" ref="N30:N32" si="27">ROUND(K30/0.723358,2)</f>
        <v>21.67</v>
      </c>
      <c r="O30" s="261">
        <f>VLOOKUP($A30,[1]Planilha!$A$18:$BK$553,60,FALSE)</f>
        <v>21.67</v>
      </c>
      <c r="P30" s="261">
        <f t="shared" si="3"/>
        <v>0</v>
      </c>
      <c r="Q30" s="265">
        <f t="shared" ref="Q30:Q32" si="28">ROUND(K30*0.993939,2)</f>
        <v>15.58</v>
      </c>
      <c r="R30" s="261">
        <f>VLOOKUP($A30,[1]Planilha!$A$18:$BK$553,51,FALSE)</f>
        <v>15.58</v>
      </c>
      <c r="S30" s="261">
        <f t="shared" si="4"/>
        <v>0</v>
      </c>
      <c r="T30" s="265">
        <f t="shared" ref="T30:T32" si="29">ROUND(Q30/0.723358,2)</f>
        <v>21.54</v>
      </c>
      <c r="U30" s="261">
        <f>VLOOKUP($A30,[1]Planilha!$A$18:$BK$553,59,FALSE)</f>
        <v>21.54</v>
      </c>
      <c r="V30" s="261">
        <f t="shared" si="5"/>
        <v>0</v>
      </c>
      <c r="W30" s="265">
        <f t="shared" si="17"/>
        <v>15.48</v>
      </c>
      <c r="X30" s="261">
        <f>VLOOKUP($A30,[1]Planilha!$A$18:$BK$553,50,FALSE)</f>
        <v>15.48</v>
      </c>
      <c r="Y30" s="261">
        <f t="shared" si="6"/>
        <v>0</v>
      </c>
      <c r="Z30" s="265">
        <f t="shared" si="12"/>
        <v>21.4</v>
      </c>
      <c r="AA30" s="261">
        <f>VLOOKUP($A30,[1]Planilha!$A$18:$BK$553,58,FALSE)</f>
        <v>21.4</v>
      </c>
      <c r="AB30" s="261">
        <f t="shared" si="7"/>
        <v>0</v>
      </c>
      <c r="AC30" s="265">
        <f t="shared" ref="AC30:AC65" si="30">ROUND(K30*0.931818,2)</f>
        <v>14.6</v>
      </c>
      <c r="AD30" s="261">
        <f>VLOOKUP($A30,[1]Planilha!$A$18:$BK$553,49,FALSE)</f>
        <v>14.6</v>
      </c>
      <c r="AE30" s="261">
        <f t="shared" si="8"/>
        <v>0</v>
      </c>
      <c r="AF30" s="266">
        <f t="shared" ref="AF30:AF65" si="31">ROUND(AC30/0.723358,2)</f>
        <v>20.18</v>
      </c>
      <c r="AG30" s="261">
        <f>VLOOKUP($A30,[1]Planilha!$A$18:$BK$553,57,FALSE)</f>
        <v>20.18</v>
      </c>
      <c r="AH30" s="261">
        <f t="shared" si="9"/>
        <v>0</v>
      </c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</row>
    <row r="31" spans="1:46" s="124" customFormat="1">
      <c r="A31" s="232">
        <v>7891721000812</v>
      </c>
      <c r="B31" s="126" t="s">
        <v>33</v>
      </c>
      <c r="C31" s="126" t="s">
        <v>391</v>
      </c>
      <c r="D31" s="214" t="s">
        <v>286</v>
      </c>
      <c r="E31" s="267">
        <f t="shared" si="25"/>
        <v>23.13</v>
      </c>
      <c r="F31" s="261">
        <f>VLOOKUP($A31,[1]Planilha!$A$18:$BK$553,54,FALSE)</f>
        <v>22.84</v>
      </c>
      <c r="G31" s="261">
        <f t="shared" si="0"/>
        <v>0.28999999999999915</v>
      </c>
      <c r="H31" s="267">
        <f t="shared" si="26"/>
        <v>31.98</v>
      </c>
      <c r="I31" s="261">
        <f>VLOOKUP($A31,[1]Planilha!$A$18:$BK$553,62,FALSE)</f>
        <v>31.98</v>
      </c>
      <c r="J31" s="261">
        <f t="shared" si="1"/>
        <v>0</v>
      </c>
      <c r="K31" s="265">
        <f>VLOOKUP(A31,[2]Plan1!$H$2:$J$279,3,FALSE)</f>
        <v>22.565304000000001</v>
      </c>
      <c r="L31" s="261">
        <f>VLOOKUP($A31,[1]Planilha!$A$18:$BK$553,52,FALSE)</f>
        <v>22.57</v>
      </c>
      <c r="M31" s="261">
        <f t="shared" si="2"/>
        <v>-4.6959999999991453E-3</v>
      </c>
      <c r="N31" s="484">
        <v>31.19</v>
      </c>
      <c r="O31" s="261">
        <f>VLOOKUP($A31,[1]Planilha!$A$18:$BK$553,60,FALSE)</f>
        <v>31.19</v>
      </c>
      <c r="P31" s="261">
        <f t="shared" si="3"/>
        <v>0</v>
      </c>
      <c r="Q31" s="267">
        <f t="shared" si="28"/>
        <v>22.43</v>
      </c>
      <c r="R31" s="261">
        <f>VLOOKUP($A31,[1]Planilha!$A$18:$BK$553,51,FALSE)</f>
        <v>22.43</v>
      </c>
      <c r="S31" s="261">
        <f t="shared" si="4"/>
        <v>0</v>
      </c>
      <c r="T31" s="267">
        <f t="shared" si="29"/>
        <v>31.01</v>
      </c>
      <c r="U31" s="261">
        <f>VLOOKUP($A31,[1]Planilha!$A$18:$BK$553,59,FALSE)</f>
        <v>31.01</v>
      </c>
      <c r="V31" s="261">
        <f t="shared" si="5"/>
        <v>0</v>
      </c>
      <c r="W31" s="267">
        <f t="shared" si="17"/>
        <v>22.29</v>
      </c>
      <c r="X31" s="261">
        <f>VLOOKUP($A31,[1]Planilha!$A$18:$BK$553,50,FALSE)</f>
        <v>22.29</v>
      </c>
      <c r="Y31" s="261">
        <f t="shared" si="6"/>
        <v>0</v>
      </c>
      <c r="Z31" s="267">
        <f t="shared" si="12"/>
        <v>30.81</v>
      </c>
      <c r="AA31" s="261">
        <f>VLOOKUP($A31,[1]Planilha!$A$18:$BK$553,58,FALSE)</f>
        <v>30.81</v>
      </c>
      <c r="AB31" s="261">
        <f t="shared" si="7"/>
        <v>0</v>
      </c>
      <c r="AC31" s="267">
        <f t="shared" si="30"/>
        <v>21.03</v>
      </c>
      <c r="AD31" s="261">
        <f>VLOOKUP($A31,[1]Planilha!$A$18:$BK$553,49,FALSE)</f>
        <v>21.03</v>
      </c>
      <c r="AE31" s="261">
        <f t="shared" si="8"/>
        <v>0</v>
      </c>
      <c r="AF31" s="268">
        <f t="shared" si="31"/>
        <v>29.07</v>
      </c>
      <c r="AG31" s="261">
        <f>VLOOKUP($A31,[1]Planilha!$A$18:$BK$553,57,FALSE)</f>
        <v>29.07</v>
      </c>
      <c r="AH31" s="261">
        <f t="shared" si="9"/>
        <v>0</v>
      </c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</row>
    <row r="32" spans="1:46" s="124" customFormat="1">
      <c r="A32" s="232">
        <v>7891721013522</v>
      </c>
      <c r="B32" s="126" t="s">
        <v>34</v>
      </c>
      <c r="C32" s="128" t="s">
        <v>392</v>
      </c>
      <c r="D32" s="214" t="s">
        <v>320</v>
      </c>
      <c r="E32" s="269">
        <f t="shared" si="25"/>
        <v>34.69</v>
      </c>
      <c r="F32" s="261">
        <f>VLOOKUP($A32,[1]Planilha!$A$18:$BK$553,54,FALSE)</f>
        <v>34.270000000000003</v>
      </c>
      <c r="G32" s="261">
        <f t="shared" si="0"/>
        <v>0.4199999999999946</v>
      </c>
      <c r="H32" s="269">
        <f t="shared" si="26"/>
        <v>47.96</v>
      </c>
      <c r="I32" s="261">
        <f>VLOOKUP($A32,[1]Planilha!$A$18:$BK$553,62,FALSE)</f>
        <v>47.96</v>
      </c>
      <c r="J32" s="261">
        <f t="shared" si="1"/>
        <v>0</v>
      </c>
      <c r="K32" s="265">
        <f>VLOOKUP(A32,[2]Plan1!$H$2:$J$279,3,FALSE)</f>
        <v>33.847956000000003</v>
      </c>
      <c r="L32" s="261">
        <f>VLOOKUP($A32,[1]Planilha!$A$18:$BK$553,52,FALSE)</f>
        <v>33.85</v>
      </c>
      <c r="M32" s="261">
        <f t="shared" si="2"/>
        <v>-2.0439999999979364E-3</v>
      </c>
      <c r="N32" s="269">
        <f t="shared" si="27"/>
        <v>46.79</v>
      </c>
      <c r="O32" s="261">
        <f>VLOOKUP($A32,[1]Planilha!$A$18:$BK$553,60,FALSE)</f>
        <v>46.79</v>
      </c>
      <c r="P32" s="261">
        <f t="shared" si="3"/>
        <v>0</v>
      </c>
      <c r="Q32" s="269">
        <f t="shared" si="28"/>
        <v>33.64</v>
      </c>
      <c r="R32" s="261">
        <f>VLOOKUP($A32,[1]Planilha!$A$18:$BK$553,51,FALSE)</f>
        <v>33.64</v>
      </c>
      <c r="S32" s="261">
        <f t="shared" si="4"/>
        <v>0</v>
      </c>
      <c r="T32" s="269">
        <f t="shared" si="29"/>
        <v>46.51</v>
      </c>
      <c r="U32" s="261">
        <f>VLOOKUP($A32,[1]Planilha!$A$18:$BK$553,59,FALSE)</f>
        <v>46.51</v>
      </c>
      <c r="V32" s="261">
        <f t="shared" si="5"/>
        <v>0</v>
      </c>
      <c r="W32" s="269">
        <f t="shared" si="17"/>
        <v>33.44</v>
      </c>
      <c r="X32" s="261">
        <f>VLOOKUP($A32,[1]Planilha!$A$18:$BK$553,50,FALSE)</f>
        <v>33.44</v>
      </c>
      <c r="Y32" s="261">
        <f t="shared" si="6"/>
        <v>0</v>
      </c>
      <c r="Z32" s="269">
        <f t="shared" si="12"/>
        <v>46.23</v>
      </c>
      <c r="AA32" s="261">
        <f>VLOOKUP($A32,[1]Planilha!$A$18:$BK$553,58,FALSE)</f>
        <v>46.23</v>
      </c>
      <c r="AB32" s="261">
        <f t="shared" si="7"/>
        <v>0</v>
      </c>
      <c r="AC32" s="269">
        <f t="shared" si="30"/>
        <v>31.54</v>
      </c>
      <c r="AD32" s="261">
        <f>VLOOKUP($A32,[1]Planilha!$A$18:$BK$553,49,FALSE)</f>
        <v>31.54</v>
      </c>
      <c r="AE32" s="261">
        <f t="shared" si="8"/>
        <v>0</v>
      </c>
      <c r="AF32" s="270">
        <f t="shared" si="31"/>
        <v>43.6</v>
      </c>
      <c r="AG32" s="261">
        <f>VLOOKUP($A32,[1]Planilha!$A$18:$BK$553,57,FALSE)</f>
        <v>43.6</v>
      </c>
      <c r="AH32" s="261">
        <f t="shared" si="9"/>
        <v>0</v>
      </c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</row>
    <row r="33" spans="1:46" s="124" customFormat="1" ht="15">
      <c r="A33" s="414"/>
      <c r="B33" s="105" t="s">
        <v>305</v>
      </c>
      <c r="C33" s="105"/>
      <c r="D33" s="106"/>
      <c r="E33" s="188"/>
      <c r="F33" s="261" t="e">
        <f>VLOOKUP($A33,[1]Planilha!$A$18:$BK$553,54,FALSE)</f>
        <v>#N/A</v>
      </c>
      <c r="G33" s="261" t="e">
        <f t="shared" si="0"/>
        <v>#N/A</v>
      </c>
      <c r="H33" s="189"/>
      <c r="I33" s="261" t="e">
        <f>VLOOKUP($A33,[1]Planilha!$A$18:$BK$553,62,FALSE)</f>
        <v>#N/A</v>
      </c>
      <c r="J33" s="261" t="e">
        <f t="shared" si="1"/>
        <v>#N/A</v>
      </c>
      <c r="K33" s="188"/>
      <c r="L33" s="261" t="e">
        <f>VLOOKUP($A33,[1]Planilha!$A$18:$BK$553,52,FALSE)</f>
        <v>#N/A</v>
      </c>
      <c r="M33" s="261" t="e">
        <f t="shared" si="2"/>
        <v>#N/A</v>
      </c>
      <c r="N33" s="189"/>
      <c r="O33" s="261" t="e">
        <f>VLOOKUP($A33,[1]Planilha!$A$18:$BK$553,60,FALSE)</f>
        <v>#N/A</v>
      </c>
      <c r="P33" s="261" t="e">
        <f t="shared" si="3"/>
        <v>#N/A</v>
      </c>
      <c r="Q33" s="188"/>
      <c r="R33" s="261" t="e">
        <f>VLOOKUP($A33,[1]Planilha!$A$18:$BK$553,51,FALSE)</f>
        <v>#N/A</v>
      </c>
      <c r="S33" s="261" t="e">
        <f t="shared" si="4"/>
        <v>#N/A</v>
      </c>
      <c r="T33" s="189"/>
      <c r="U33" s="261" t="e">
        <f>VLOOKUP($A33,[1]Planilha!$A$18:$BK$553,59,FALSE)</f>
        <v>#N/A</v>
      </c>
      <c r="V33" s="261" t="e">
        <f t="shared" si="5"/>
        <v>#N/A</v>
      </c>
      <c r="W33" s="188"/>
      <c r="X33" s="261" t="e">
        <f>VLOOKUP($A33,[1]Planilha!$A$18:$BK$553,50,FALSE)</f>
        <v>#N/A</v>
      </c>
      <c r="Y33" s="261" t="e">
        <f t="shared" si="6"/>
        <v>#N/A</v>
      </c>
      <c r="Z33" s="189"/>
      <c r="AA33" s="261" t="e">
        <f>VLOOKUP($A33,[1]Planilha!$A$18:$BK$553,58,FALSE)</f>
        <v>#N/A</v>
      </c>
      <c r="AB33" s="261" t="e">
        <f t="shared" si="7"/>
        <v>#N/A</v>
      </c>
      <c r="AC33" s="188"/>
      <c r="AD33" s="261" t="e">
        <f>VLOOKUP($A33,[1]Planilha!$A$18:$BK$553,49,FALSE)</f>
        <v>#N/A</v>
      </c>
      <c r="AE33" s="261" t="e">
        <f t="shared" si="8"/>
        <v>#N/A</v>
      </c>
      <c r="AF33" s="191"/>
      <c r="AG33" s="261" t="e">
        <f>VLOOKUP($A33,[1]Planilha!$A$18:$BK$553,57,FALSE)</f>
        <v>#N/A</v>
      </c>
      <c r="AH33" s="261" t="e">
        <f t="shared" si="9"/>
        <v>#N/A</v>
      </c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</row>
    <row r="34" spans="1:46" s="124" customFormat="1">
      <c r="A34" s="233">
        <v>7891721003059</v>
      </c>
      <c r="B34" s="126">
        <v>1008902540026</v>
      </c>
      <c r="C34" s="117" t="s">
        <v>540</v>
      </c>
      <c r="D34" s="214" t="s">
        <v>613</v>
      </c>
      <c r="E34" s="265">
        <f t="shared" ref="E34:E39" si="32">K34</f>
        <v>4.5884879999999999</v>
      </c>
      <c r="F34" s="261">
        <f>VLOOKUP($A34,[1]Planilha!$A$18:$BK$553,54,FALSE)</f>
        <v>4.6399999999999997</v>
      </c>
      <c r="G34" s="261">
        <f t="shared" si="0"/>
        <v>-5.151199999999978E-2</v>
      </c>
      <c r="H34" s="265">
        <f t="shared" ref="H34:H39" si="33">N34</f>
        <v>6.34</v>
      </c>
      <c r="I34" s="261">
        <f>VLOOKUP($A34,[1]Planilha!$A$18:$BK$553,62,FALSE)</f>
        <v>6.5</v>
      </c>
      <c r="J34" s="261">
        <f t="shared" si="1"/>
        <v>-0.16000000000000014</v>
      </c>
      <c r="K34" s="265">
        <f>VLOOKUP(A34,[2]Plan1!$H$2:$J$279,3,FALSE)</f>
        <v>4.5884879999999999</v>
      </c>
      <c r="L34" s="261">
        <f>VLOOKUP($A34,[1]Planilha!$A$18:$BK$553,52,FALSE)</f>
        <v>4.59</v>
      </c>
      <c r="M34" s="261">
        <f t="shared" si="2"/>
        <v>-1.5119999999999578E-3</v>
      </c>
      <c r="N34" s="265">
        <f>ROUND(K34/0.723358,2)</f>
        <v>6.34</v>
      </c>
      <c r="O34" s="261">
        <f>VLOOKUP($A34,[1]Planilha!$A$18:$BK$553,60,FALSE)</f>
        <v>6.34</v>
      </c>
      <c r="P34" s="261">
        <f t="shared" si="3"/>
        <v>0</v>
      </c>
      <c r="Q34" s="265">
        <f t="shared" ref="Q34:Q40" si="34">ROUND(K34*0.993939,2)</f>
        <v>4.5599999999999996</v>
      </c>
      <c r="R34" s="261">
        <f>VLOOKUP($A34,[1]Planilha!$A$18:$BK$553,51,FALSE)</f>
        <v>4.5599999999999996</v>
      </c>
      <c r="S34" s="261">
        <f t="shared" si="4"/>
        <v>0</v>
      </c>
      <c r="T34" s="265">
        <f t="shared" ref="T34:T40" si="35">ROUND(Q34/0.723358,2)</f>
        <v>6.3</v>
      </c>
      <c r="U34" s="261">
        <f>VLOOKUP($A34,[1]Planilha!$A$18:$BK$553,59,FALSE)</f>
        <v>6.3</v>
      </c>
      <c r="V34" s="261">
        <f t="shared" si="5"/>
        <v>0</v>
      </c>
      <c r="W34" s="265">
        <f t="shared" si="17"/>
        <v>4.53</v>
      </c>
      <c r="X34" s="261">
        <f>VLOOKUP($A34,[1]Planilha!$A$18:$BK$553,50,FALSE)</f>
        <v>4.53</v>
      </c>
      <c r="Y34" s="261">
        <f t="shared" si="6"/>
        <v>0</v>
      </c>
      <c r="Z34" s="265">
        <f t="shared" si="12"/>
        <v>6.26</v>
      </c>
      <c r="AA34" s="261">
        <f>VLOOKUP($A34,[1]Planilha!$A$18:$BK$553,58,FALSE)</f>
        <v>6.26</v>
      </c>
      <c r="AB34" s="261">
        <f t="shared" si="7"/>
        <v>0</v>
      </c>
      <c r="AC34" s="265">
        <f t="shared" si="30"/>
        <v>4.28</v>
      </c>
      <c r="AD34" s="261">
        <f>VLOOKUP($A34,[1]Planilha!$A$18:$BK$553,49,FALSE)</f>
        <v>4.28</v>
      </c>
      <c r="AE34" s="261">
        <f t="shared" si="8"/>
        <v>0</v>
      </c>
      <c r="AF34" s="266">
        <f t="shared" si="31"/>
        <v>5.92</v>
      </c>
      <c r="AG34" s="261">
        <f>VLOOKUP($A34,[1]Planilha!$A$18:$BK$553,57,FALSE)</f>
        <v>5.92</v>
      </c>
      <c r="AH34" s="261">
        <f t="shared" si="9"/>
        <v>0</v>
      </c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</row>
    <row r="35" spans="1:46" s="124" customFormat="1">
      <c r="A35" s="232">
        <v>7891721003042</v>
      </c>
      <c r="B35" s="126" t="s">
        <v>35</v>
      </c>
      <c r="C35" s="121" t="s">
        <v>393</v>
      </c>
      <c r="D35" s="214" t="s">
        <v>614</v>
      </c>
      <c r="E35" s="263">
        <f t="shared" si="32"/>
        <v>13.734036</v>
      </c>
      <c r="F35" s="261">
        <f>VLOOKUP($A35,[1]Planilha!$A$18:$BK$553,54,FALSE)</f>
        <v>13.9</v>
      </c>
      <c r="G35" s="261">
        <f t="shared" si="0"/>
        <v>-0.16596400000000067</v>
      </c>
      <c r="H35" s="263">
        <f t="shared" si="33"/>
        <v>18.989999999999998</v>
      </c>
      <c r="I35" s="261">
        <f>VLOOKUP($A35,[1]Planilha!$A$18:$BK$553,62,FALSE)</f>
        <v>19.46</v>
      </c>
      <c r="J35" s="261">
        <f t="shared" si="1"/>
        <v>-0.47000000000000242</v>
      </c>
      <c r="K35" s="265">
        <f>VLOOKUP(A35,[2]Plan1!$H$2:$J$279,3,FALSE)</f>
        <v>13.734036</v>
      </c>
      <c r="L35" s="261">
        <f>VLOOKUP($A35,[1]Planilha!$A$18:$BK$553,52,FALSE)</f>
        <v>13.73</v>
      </c>
      <c r="M35" s="261">
        <f t="shared" si="2"/>
        <v>4.0359999999992624E-3</v>
      </c>
      <c r="N35" s="263">
        <f t="shared" ref="N35:N40" si="36">ROUND(K35/0.723358,2)</f>
        <v>18.989999999999998</v>
      </c>
      <c r="O35" s="261">
        <f>VLOOKUP($A35,[1]Planilha!$A$18:$BK$553,60,FALSE)</f>
        <v>18.989999999999998</v>
      </c>
      <c r="P35" s="261">
        <f t="shared" si="3"/>
        <v>0</v>
      </c>
      <c r="Q35" s="263">
        <f t="shared" si="34"/>
        <v>13.65</v>
      </c>
      <c r="R35" s="261">
        <f>VLOOKUP($A35,[1]Planilha!$A$18:$BK$553,51,FALSE)</f>
        <v>13.65</v>
      </c>
      <c r="S35" s="261">
        <f t="shared" si="4"/>
        <v>0</v>
      </c>
      <c r="T35" s="263">
        <f t="shared" si="35"/>
        <v>18.87</v>
      </c>
      <c r="U35" s="261">
        <f>VLOOKUP($A35,[1]Planilha!$A$18:$BK$553,59,FALSE)</f>
        <v>18.87</v>
      </c>
      <c r="V35" s="261">
        <f t="shared" si="5"/>
        <v>0</v>
      </c>
      <c r="W35" s="263">
        <f t="shared" si="17"/>
        <v>13.57</v>
      </c>
      <c r="X35" s="261">
        <f>VLOOKUP($A35,[1]Planilha!$A$18:$BK$553,50,FALSE)</f>
        <v>13.57</v>
      </c>
      <c r="Y35" s="261">
        <f t="shared" si="6"/>
        <v>0</v>
      </c>
      <c r="Z35" s="263">
        <f t="shared" si="12"/>
        <v>18.760000000000002</v>
      </c>
      <c r="AA35" s="261">
        <f>VLOOKUP($A35,[1]Planilha!$A$18:$BK$553,58,FALSE)</f>
        <v>18.760000000000002</v>
      </c>
      <c r="AB35" s="261">
        <f t="shared" si="7"/>
        <v>0</v>
      </c>
      <c r="AC35" s="263">
        <f t="shared" si="30"/>
        <v>12.8</v>
      </c>
      <c r="AD35" s="261">
        <f>VLOOKUP($A35,[1]Planilha!$A$18:$BK$553,49,FALSE)</f>
        <v>12.8</v>
      </c>
      <c r="AE35" s="261">
        <f t="shared" si="8"/>
        <v>0</v>
      </c>
      <c r="AF35" s="264">
        <f t="shared" si="31"/>
        <v>17.7</v>
      </c>
      <c r="AG35" s="261">
        <f>VLOOKUP($A35,[1]Planilha!$A$18:$BK$553,57,FALSE)</f>
        <v>17.7</v>
      </c>
      <c r="AH35" s="261">
        <f t="shared" si="9"/>
        <v>0</v>
      </c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</row>
    <row r="36" spans="1:46" s="124" customFormat="1">
      <c r="A36" s="232">
        <v>7891721013119</v>
      </c>
      <c r="B36" s="126">
        <v>1008902540050</v>
      </c>
      <c r="C36" s="121" t="s">
        <v>541</v>
      </c>
      <c r="D36" s="214" t="s">
        <v>615</v>
      </c>
      <c r="E36" s="263">
        <f t="shared" si="32"/>
        <v>8.7474600000000002</v>
      </c>
      <c r="F36" s="261">
        <f>VLOOKUP($A36,[1]Planilha!$A$18:$BK$553,54,FALSE)</f>
        <v>8.86</v>
      </c>
      <c r="G36" s="261">
        <f t="shared" si="0"/>
        <v>-0.1125399999999992</v>
      </c>
      <c r="H36" s="263">
        <f t="shared" si="33"/>
        <v>12.09</v>
      </c>
      <c r="I36" s="261">
        <f>VLOOKUP($A36,[1]Planilha!$A$18:$BK$553,62,FALSE)</f>
        <v>12.4</v>
      </c>
      <c r="J36" s="261">
        <f t="shared" si="1"/>
        <v>-0.3100000000000005</v>
      </c>
      <c r="K36" s="265">
        <f>VLOOKUP(A36,[2]Plan1!$H$2:$J$279,3,FALSE)</f>
        <v>8.7474600000000002</v>
      </c>
      <c r="L36" s="261">
        <f>VLOOKUP($A36,[1]Planilha!$A$18:$BK$553,52,FALSE)</f>
        <v>8.75</v>
      </c>
      <c r="M36" s="261">
        <f t="shared" si="2"/>
        <v>-2.5399999999997647E-3</v>
      </c>
      <c r="N36" s="263">
        <f t="shared" si="36"/>
        <v>12.09</v>
      </c>
      <c r="O36" s="261">
        <f>VLOOKUP($A36,[1]Planilha!$A$18:$BK$553,60,FALSE)</f>
        <v>12.09</v>
      </c>
      <c r="P36" s="261">
        <f t="shared" si="3"/>
        <v>0</v>
      </c>
      <c r="Q36" s="263">
        <f t="shared" si="34"/>
        <v>8.69</v>
      </c>
      <c r="R36" s="261">
        <f>VLOOKUP($A36,[1]Planilha!$A$18:$BK$553,51,FALSE)</f>
        <v>8.69</v>
      </c>
      <c r="S36" s="261">
        <f t="shared" si="4"/>
        <v>0</v>
      </c>
      <c r="T36" s="263">
        <f t="shared" si="35"/>
        <v>12.01</v>
      </c>
      <c r="U36" s="261">
        <f>VLOOKUP($A36,[1]Planilha!$A$18:$BK$553,59,FALSE)</f>
        <v>12.01</v>
      </c>
      <c r="V36" s="261">
        <f t="shared" si="5"/>
        <v>0</v>
      </c>
      <c r="W36" s="263">
        <f t="shared" si="17"/>
        <v>8.64</v>
      </c>
      <c r="X36" s="261">
        <f>VLOOKUP($A36,[1]Planilha!$A$18:$BK$553,50,FALSE)</f>
        <v>8.64</v>
      </c>
      <c r="Y36" s="261">
        <f t="shared" si="6"/>
        <v>0</v>
      </c>
      <c r="Z36" s="263">
        <f t="shared" si="12"/>
        <v>11.94</v>
      </c>
      <c r="AA36" s="261">
        <f>VLOOKUP($A36,[1]Planilha!$A$18:$BK$553,58,FALSE)</f>
        <v>11.94</v>
      </c>
      <c r="AB36" s="261">
        <f t="shared" si="7"/>
        <v>0</v>
      </c>
      <c r="AC36" s="263">
        <f t="shared" si="30"/>
        <v>8.15</v>
      </c>
      <c r="AD36" s="261">
        <f>VLOOKUP($A36,[1]Planilha!$A$18:$BK$553,49,FALSE)</f>
        <v>8.15</v>
      </c>
      <c r="AE36" s="261">
        <f t="shared" si="8"/>
        <v>0</v>
      </c>
      <c r="AF36" s="264">
        <f t="shared" si="31"/>
        <v>11.27</v>
      </c>
      <c r="AG36" s="261">
        <f>VLOOKUP($A36,[1]Planilha!$A$18:$BK$553,57,FALSE)</f>
        <v>11.27</v>
      </c>
      <c r="AH36" s="261">
        <f t="shared" si="9"/>
        <v>0</v>
      </c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</row>
    <row r="37" spans="1:46" s="124" customFormat="1">
      <c r="A37" s="232">
        <v>7891721012884</v>
      </c>
      <c r="B37" s="126" t="s">
        <v>36</v>
      </c>
      <c r="C37" s="126" t="s">
        <v>394</v>
      </c>
      <c r="D37" s="214" t="s">
        <v>616</v>
      </c>
      <c r="E37" s="267">
        <f t="shared" si="32"/>
        <v>26.263332000000002</v>
      </c>
      <c r="F37" s="261">
        <f>VLOOKUP($A37,[1]Planilha!$A$18:$BK$553,54,FALSE)</f>
        <v>26.59</v>
      </c>
      <c r="G37" s="261">
        <f t="shared" si="0"/>
        <v>-0.32666799999999796</v>
      </c>
      <c r="H37" s="267">
        <f t="shared" si="33"/>
        <v>36.31</v>
      </c>
      <c r="I37" s="261">
        <f>VLOOKUP($A37,[1]Planilha!$A$18:$BK$553,62,FALSE)</f>
        <v>37.22</v>
      </c>
      <c r="J37" s="261">
        <f t="shared" si="1"/>
        <v>-0.90999999999999659</v>
      </c>
      <c r="K37" s="265">
        <f>VLOOKUP(A37,[2]Plan1!$H$2:$J$279,3,FALSE)</f>
        <v>26.263332000000002</v>
      </c>
      <c r="L37" s="261">
        <f>VLOOKUP($A37,[1]Planilha!$A$18:$BK$553,52,FALSE)</f>
        <v>26.26</v>
      </c>
      <c r="M37" s="261">
        <f t="shared" si="2"/>
        <v>3.3320000000003347E-3</v>
      </c>
      <c r="N37" s="267">
        <f t="shared" si="36"/>
        <v>36.31</v>
      </c>
      <c r="O37" s="261">
        <f>VLOOKUP($A37,[1]Planilha!$A$18:$BK$553,60,FALSE)</f>
        <v>36.31</v>
      </c>
      <c r="P37" s="261">
        <f t="shared" si="3"/>
        <v>0</v>
      </c>
      <c r="Q37" s="267">
        <f t="shared" si="34"/>
        <v>26.1</v>
      </c>
      <c r="R37" s="261">
        <f>VLOOKUP($A37,[1]Planilha!$A$18:$BK$553,51,FALSE)</f>
        <v>26.1</v>
      </c>
      <c r="S37" s="261">
        <f t="shared" si="4"/>
        <v>0</v>
      </c>
      <c r="T37" s="267">
        <f t="shared" si="35"/>
        <v>36.08</v>
      </c>
      <c r="U37" s="261">
        <f>VLOOKUP($A37,[1]Planilha!$A$18:$BK$553,59,FALSE)</f>
        <v>36.08</v>
      </c>
      <c r="V37" s="261">
        <f t="shared" si="5"/>
        <v>0</v>
      </c>
      <c r="W37" s="267">
        <f t="shared" si="17"/>
        <v>25.95</v>
      </c>
      <c r="X37" s="261">
        <f>VLOOKUP($A37,[1]Planilha!$A$18:$BK$553,50,FALSE)</f>
        <v>25.95</v>
      </c>
      <c r="Y37" s="261">
        <f t="shared" si="6"/>
        <v>0</v>
      </c>
      <c r="Z37" s="267">
        <f t="shared" si="12"/>
        <v>35.869999999999997</v>
      </c>
      <c r="AA37" s="261">
        <f>VLOOKUP($A37,[1]Planilha!$A$18:$BK$553,58,FALSE)</f>
        <v>35.869999999999997</v>
      </c>
      <c r="AB37" s="261">
        <f t="shared" si="7"/>
        <v>0</v>
      </c>
      <c r="AC37" s="267">
        <f t="shared" si="30"/>
        <v>24.47</v>
      </c>
      <c r="AD37" s="261">
        <f>VLOOKUP($A37,[1]Planilha!$A$18:$BK$553,49,FALSE)</f>
        <v>24.47</v>
      </c>
      <c r="AE37" s="261">
        <f t="shared" si="8"/>
        <v>0</v>
      </c>
      <c r="AF37" s="268">
        <f t="shared" si="31"/>
        <v>33.83</v>
      </c>
      <c r="AG37" s="261">
        <f>VLOOKUP($A37,[1]Planilha!$A$18:$BK$553,57,FALSE)</f>
        <v>33.83</v>
      </c>
      <c r="AH37" s="261">
        <f t="shared" si="9"/>
        <v>0</v>
      </c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</row>
    <row r="38" spans="1:46" s="124" customFormat="1">
      <c r="A38" s="232">
        <v>7891721016189</v>
      </c>
      <c r="B38" s="126">
        <v>1008902540085</v>
      </c>
      <c r="C38" s="121" t="s">
        <v>542</v>
      </c>
      <c r="D38" s="214" t="s">
        <v>617</v>
      </c>
      <c r="E38" s="263">
        <f t="shared" si="32"/>
        <v>17.725392000000003</v>
      </c>
      <c r="F38" s="261">
        <f>VLOOKUP($A38,[1]Planilha!$A$18:$BK$553,54,FALSE)</f>
        <v>17.940000000000001</v>
      </c>
      <c r="G38" s="261">
        <f t="shared" si="0"/>
        <v>-0.21460799999999836</v>
      </c>
      <c r="H38" s="263">
        <f t="shared" si="33"/>
        <v>24.5</v>
      </c>
      <c r="I38" s="261">
        <f>VLOOKUP($A38,[1]Planilha!$A$18:$BK$553,62,FALSE)</f>
        <v>25.12</v>
      </c>
      <c r="J38" s="261">
        <f t="shared" si="1"/>
        <v>-0.62000000000000099</v>
      </c>
      <c r="K38" s="265">
        <f>VLOOKUP(A38,[2]Plan1!$H$2:$J$279,3,FALSE)</f>
        <v>17.725392000000003</v>
      </c>
      <c r="L38" s="261">
        <f>VLOOKUP($A38,[1]Planilha!$A$18:$BK$553,52,FALSE)</f>
        <v>17.73</v>
      </c>
      <c r="M38" s="261">
        <f t="shared" si="2"/>
        <v>-4.607999999997503E-3</v>
      </c>
      <c r="N38" s="263">
        <f t="shared" si="36"/>
        <v>24.5</v>
      </c>
      <c r="O38" s="261">
        <f>VLOOKUP($A38,[1]Planilha!$A$18:$BK$553,60,FALSE)</f>
        <v>24.5</v>
      </c>
      <c r="P38" s="261">
        <f t="shared" si="3"/>
        <v>0</v>
      </c>
      <c r="Q38" s="263">
        <f t="shared" si="34"/>
        <v>17.62</v>
      </c>
      <c r="R38" s="261">
        <f>VLOOKUP($A38,[1]Planilha!$A$18:$BK$553,51,FALSE)</f>
        <v>17.62</v>
      </c>
      <c r="S38" s="261">
        <f t="shared" si="4"/>
        <v>0</v>
      </c>
      <c r="T38" s="263">
        <f t="shared" si="35"/>
        <v>24.36</v>
      </c>
      <c r="U38" s="261">
        <f>VLOOKUP($A38,[1]Planilha!$A$18:$BK$553,59,FALSE)</f>
        <v>24.36</v>
      </c>
      <c r="V38" s="261">
        <f t="shared" si="5"/>
        <v>0</v>
      </c>
      <c r="W38" s="263">
        <f t="shared" si="17"/>
        <v>17.510000000000002</v>
      </c>
      <c r="X38" s="261">
        <f>VLOOKUP($A38,[1]Planilha!$A$18:$BK$553,50,FALSE)</f>
        <v>17.510000000000002</v>
      </c>
      <c r="Y38" s="261">
        <f t="shared" si="6"/>
        <v>0</v>
      </c>
      <c r="Z38" s="263">
        <f t="shared" si="12"/>
        <v>24.21</v>
      </c>
      <c r="AA38" s="261">
        <f>VLOOKUP($A38,[1]Planilha!$A$18:$BK$553,58,FALSE)</f>
        <v>24.21</v>
      </c>
      <c r="AB38" s="261">
        <f t="shared" si="7"/>
        <v>0</v>
      </c>
      <c r="AC38" s="263">
        <f t="shared" si="30"/>
        <v>16.52</v>
      </c>
      <c r="AD38" s="261">
        <f>VLOOKUP($A38,[1]Planilha!$A$18:$BK$553,49,FALSE)</f>
        <v>16.52</v>
      </c>
      <c r="AE38" s="261">
        <f t="shared" si="8"/>
        <v>0</v>
      </c>
      <c r="AF38" s="264">
        <f t="shared" si="31"/>
        <v>22.84</v>
      </c>
      <c r="AG38" s="261">
        <f>VLOOKUP($A38,[1]Planilha!$A$18:$BK$553,57,FALSE)</f>
        <v>22.84</v>
      </c>
      <c r="AH38" s="261">
        <f t="shared" si="9"/>
        <v>0</v>
      </c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</row>
    <row r="39" spans="1:46" s="124" customFormat="1">
      <c r="A39" s="232">
        <v>7891721016165</v>
      </c>
      <c r="B39" s="126">
        <v>1008902540093</v>
      </c>
      <c r="C39" s="126" t="s">
        <v>407</v>
      </c>
      <c r="D39" s="215" t="s">
        <v>618</v>
      </c>
      <c r="E39" s="273">
        <f t="shared" si="32"/>
        <v>53.176176000000005</v>
      </c>
      <c r="F39" s="261">
        <f>VLOOKUP($A39,[1]Planilha!$A$18:$BK$553,54,FALSE)</f>
        <v>53.83</v>
      </c>
      <c r="G39" s="261">
        <f t="shared" si="0"/>
        <v>-0.65382399999999308</v>
      </c>
      <c r="H39" s="273">
        <f t="shared" si="33"/>
        <v>73.510000000000005</v>
      </c>
      <c r="I39" s="261">
        <f>VLOOKUP($A39,[1]Planilha!$A$18:$BK$553,62,FALSE)</f>
        <v>75.36</v>
      </c>
      <c r="J39" s="261">
        <f t="shared" si="1"/>
        <v>-1.8499999999999943</v>
      </c>
      <c r="K39" s="265">
        <f>VLOOKUP(A39,[2]Plan1!$H$2:$J$279,3,FALSE)</f>
        <v>53.176176000000005</v>
      </c>
      <c r="L39" s="261">
        <f>VLOOKUP($A39,[1]Planilha!$A$18:$BK$553,52,FALSE)</f>
        <v>53.18</v>
      </c>
      <c r="M39" s="261">
        <f t="shared" si="2"/>
        <v>-3.8239999999944985E-3</v>
      </c>
      <c r="N39" s="273">
        <f t="shared" si="36"/>
        <v>73.510000000000005</v>
      </c>
      <c r="O39" s="261">
        <f>VLOOKUP($A39,[1]Planilha!$A$18:$BK$553,60,FALSE)</f>
        <v>73.510000000000005</v>
      </c>
      <c r="P39" s="261">
        <f t="shared" si="3"/>
        <v>0</v>
      </c>
      <c r="Q39" s="273">
        <f t="shared" si="34"/>
        <v>52.85</v>
      </c>
      <c r="R39" s="261">
        <f>VLOOKUP($A39,[1]Planilha!$A$18:$BK$553,51,FALSE)</f>
        <v>52.85</v>
      </c>
      <c r="S39" s="261">
        <f t="shared" si="4"/>
        <v>0</v>
      </c>
      <c r="T39" s="273">
        <f t="shared" si="35"/>
        <v>73.06</v>
      </c>
      <c r="U39" s="261">
        <f>VLOOKUP($A39,[1]Planilha!$A$18:$BK$553,59,FALSE)</f>
        <v>73.06</v>
      </c>
      <c r="V39" s="261">
        <f t="shared" si="5"/>
        <v>0</v>
      </c>
      <c r="W39" s="273">
        <f t="shared" si="17"/>
        <v>52.54</v>
      </c>
      <c r="X39" s="261">
        <f>VLOOKUP($A39,[1]Planilha!$A$18:$BK$553,50,FALSE)</f>
        <v>52.54</v>
      </c>
      <c r="Y39" s="261">
        <f t="shared" si="6"/>
        <v>0</v>
      </c>
      <c r="Z39" s="273">
        <f t="shared" si="12"/>
        <v>72.63</v>
      </c>
      <c r="AA39" s="261">
        <f>VLOOKUP($A39,[1]Planilha!$A$18:$BK$553,58,FALSE)</f>
        <v>72.63</v>
      </c>
      <c r="AB39" s="261">
        <f t="shared" si="7"/>
        <v>0</v>
      </c>
      <c r="AC39" s="273">
        <f t="shared" si="30"/>
        <v>49.55</v>
      </c>
      <c r="AD39" s="261">
        <f>VLOOKUP($A39,[1]Planilha!$A$18:$BK$553,49,FALSE)</f>
        <v>49.55</v>
      </c>
      <c r="AE39" s="261">
        <f t="shared" si="8"/>
        <v>0</v>
      </c>
      <c r="AF39" s="274">
        <f t="shared" si="31"/>
        <v>68.5</v>
      </c>
      <c r="AG39" s="261">
        <f>VLOOKUP($A39,[1]Planilha!$A$18:$BK$553,57,FALSE)</f>
        <v>68.5</v>
      </c>
      <c r="AH39" s="261">
        <f t="shared" si="9"/>
        <v>0</v>
      </c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</row>
    <row r="40" spans="1:46" s="124" customFormat="1">
      <c r="A40" s="232">
        <v>7891721016172</v>
      </c>
      <c r="B40" s="126">
        <v>1008902540115</v>
      </c>
      <c r="C40" s="126" t="s">
        <v>408</v>
      </c>
      <c r="D40" s="215" t="s">
        <v>534</v>
      </c>
      <c r="E40" s="273">
        <f t="shared" ref="E40" si="37">ROUND(K40*1.025,2)</f>
        <v>74.510000000000005</v>
      </c>
      <c r="F40" s="261">
        <f>VLOOKUP($A40,[1]Planilha!$A$18:$BK$553,54,FALSE)</f>
        <v>73.59</v>
      </c>
      <c r="G40" s="261">
        <f t="shared" si="0"/>
        <v>0.92000000000000171</v>
      </c>
      <c r="H40" s="273">
        <f t="shared" ref="H40" si="38">ROUND(E40/0.723358,2)</f>
        <v>103.01</v>
      </c>
      <c r="I40" s="261">
        <f>VLOOKUP($A40,[1]Planilha!$A$18:$BK$553,62,FALSE)</f>
        <v>103.01</v>
      </c>
      <c r="J40" s="261">
        <f t="shared" si="1"/>
        <v>0</v>
      </c>
      <c r="K40" s="265">
        <f>VLOOKUP(A40,[2]Plan1!$H$2:$J$279,3,FALSE)</f>
        <v>72.692964000000003</v>
      </c>
      <c r="L40" s="261">
        <f>VLOOKUP($A40,[1]Planilha!$A$18:$BK$553,52,FALSE)</f>
        <v>72.69</v>
      </c>
      <c r="M40" s="261">
        <f t="shared" si="2"/>
        <v>2.9640000000057398E-3</v>
      </c>
      <c r="N40" s="273">
        <f t="shared" si="36"/>
        <v>100.49</v>
      </c>
      <c r="O40" s="261">
        <f>VLOOKUP($A40,[1]Planilha!$A$18:$BK$553,60,FALSE)</f>
        <v>100.49</v>
      </c>
      <c r="P40" s="261">
        <f t="shared" si="3"/>
        <v>0</v>
      </c>
      <c r="Q40" s="273">
        <f t="shared" si="34"/>
        <v>72.25</v>
      </c>
      <c r="R40" s="261">
        <f>VLOOKUP($A40,[1]Planilha!$A$18:$BK$553,51,FALSE)</f>
        <v>72.25</v>
      </c>
      <c r="S40" s="261">
        <f t="shared" si="4"/>
        <v>0</v>
      </c>
      <c r="T40" s="273">
        <f t="shared" si="35"/>
        <v>99.88</v>
      </c>
      <c r="U40" s="261">
        <f>VLOOKUP($A40,[1]Planilha!$A$18:$BK$553,59,FALSE)</f>
        <v>99.88</v>
      </c>
      <c r="V40" s="261">
        <f t="shared" si="5"/>
        <v>0</v>
      </c>
      <c r="W40" s="273">
        <f t="shared" si="17"/>
        <v>71.819999999999993</v>
      </c>
      <c r="X40" s="261">
        <f>VLOOKUP($A40,[1]Planilha!$A$18:$BK$553,50,FALSE)</f>
        <v>71.819999999999993</v>
      </c>
      <c r="Y40" s="261">
        <f t="shared" si="6"/>
        <v>0</v>
      </c>
      <c r="Z40" s="273">
        <f t="shared" si="12"/>
        <v>99.29</v>
      </c>
      <c r="AA40" s="261">
        <f>VLOOKUP($A40,[1]Planilha!$A$18:$BK$553,58,FALSE)</f>
        <v>99.29</v>
      </c>
      <c r="AB40" s="261">
        <f t="shared" si="7"/>
        <v>0</v>
      </c>
      <c r="AC40" s="273">
        <f t="shared" si="30"/>
        <v>67.739999999999995</v>
      </c>
      <c r="AD40" s="261">
        <f>VLOOKUP($A40,[1]Planilha!$A$18:$BK$553,49,FALSE)</f>
        <v>67.739999999999995</v>
      </c>
      <c r="AE40" s="261">
        <f t="shared" si="8"/>
        <v>0</v>
      </c>
      <c r="AF40" s="274">
        <f t="shared" si="31"/>
        <v>93.65</v>
      </c>
      <c r="AG40" s="261">
        <f>VLOOKUP($A40,[1]Planilha!$A$18:$BK$553,57,FALSE)</f>
        <v>93.65</v>
      </c>
      <c r="AH40" s="261">
        <f t="shared" si="9"/>
        <v>0</v>
      </c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</row>
    <row r="41" spans="1:46" s="124" customFormat="1" ht="15">
      <c r="A41" s="414"/>
      <c r="B41" s="105" t="s">
        <v>306</v>
      </c>
      <c r="C41" s="105"/>
      <c r="D41" s="106"/>
      <c r="E41" s="188"/>
      <c r="F41" s="261" t="e">
        <f>VLOOKUP($A41,[1]Planilha!$A$18:$BK$553,54,FALSE)</f>
        <v>#N/A</v>
      </c>
      <c r="G41" s="261" t="e">
        <f t="shared" si="0"/>
        <v>#N/A</v>
      </c>
      <c r="H41" s="189"/>
      <c r="I41" s="261" t="e">
        <f>VLOOKUP($A41,[1]Planilha!$A$18:$BK$553,62,FALSE)</f>
        <v>#N/A</v>
      </c>
      <c r="J41" s="261" t="e">
        <f t="shared" si="1"/>
        <v>#N/A</v>
      </c>
      <c r="K41" s="188"/>
      <c r="L41" s="261" t="e">
        <f>VLOOKUP($A41,[1]Planilha!$A$18:$BK$553,52,FALSE)</f>
        <v>#N/A</v>
      </c>
      <c r="M41" s="261" t="e">
        <f t="shared" si="2"/>
        <v>#N/A</v>
      </c>
      <c r="N41" s="189"/>
      <c r="O41" s="261" t="e">
        <f>VLOOKUP($A41,[1]Planilha!$A$18:$BK$553,60,FALSE)</f>
        <v>#N/A</v>
      </c>
      <c r="P41" s="261" t="e">
        <f t="shared" si="3"/>
        <v>#N/A</v>
      </c>
      <c r="Q41" s="188"/>
      <c r="R41" s="261" t="e">
        <f>VLOOKUP($A41,[1]Planilha!$A$18:$BK$553,51,FALSE)</f>
        <v>#N/A</v>
      </c>
      <c r="S41" s="261" t="e">
        <f t="shared" si="4"/>
        <v>#N/A</v>
      </c>
      <c r="T41" s="189"/>
      <c r="U41" s="261" t="e">
        <f>VLOOKUP($A41,[1]Planilha!$A$18:$BK$553,59,FALSE)</f>
        <v>#N/A</v>
      </c>
      <c r="V41" s="261" t="e">
        <f t="shared" si="5"/>
        <v>#N/A</v>
      </c>
      <c r="W41" s="188"/>
      <c r="X41" s="261" t="e">
        <f>VLOOKUP($A41,[1]Planilha!$A$18:$BK$553,50,FALSE)</f>
        <v>#N/A</v>
      </c>
      <c r="Y41" s="261" t="e">
        <f t="shared" si="6"/>
        <v>#N/A</v>
      </c>
      <c r="Z41" s="189"/>
      <c r="AA41" s="261" t="e">
        <f>VLOOKUP($A41,[1]Planilha!$A$18:$BK$553,58,FALSE)</f>
        <v>#N/A</v>
      </c>
      <c r="AB41" s="261" t="e">
        <f t="shared" si="7"/>
        <v>#N/A</v>
      </c>
      <c r="AC41" s="188"/>
      <c r="AD41" s="261" t="e">
        <f>VLOOKUP($A41,[1]Planilha!$A$18:$BK$553,49,FALSE)</f>
        <v>#N/A</v>
      </c>
      <c r="AE41" s="261" t="e">
        <f t="shared" si="8"/>
        <v>#N/A</v>
      </c>
      <c r="AF41" s="191"/>
      <c r="AG41" s="261" t="e">
        <f>VLOOKUP($A41,[1]Planilha!$A$18:$BK$553,57,FALSE)</f>
        <v>#N/A</v>
      </c>
      <c r="AH41" s="261" t="e">
        <f t="shared" si="9"/>
        <v>#N/A</v>
      </c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</row>
    <row r="42" spans="1:46" s="124" customFormat="1">
      <c r="A42" s="233">
        <v>7891721070600</v>
      </c>
      <c r="B42" s="126" t="s">
        <v>44</v>
      </c>
      <c r="C42" s="148" t="s">
        <v>395</v>
      </c>
      <c r="D42" s="215" t="s">
        <v>361</v>
      </c>
      <c r="E42" s="277">
        <f t="shared" ref="E42:E55" si="39">ROUND(K42*1.025,2)</f>
        <v>58.77</v>
      </c>
      <c r="F42" s="261">
        <f>VLOOKUP($A42,[1]Planilha!$A$18:$BK$553,54,FALSE)</f>
        <v>58.04</v>
      </c>
      <c r="G42" s="261">
        <f t="shared" si="0"/>
        <v>0.73000000000000398</v>
      </c>
      <c r="H42" s="277">
        <f t="shared" ref="H42:H55" si="40">ROUND(E42/0.723358,2)</f>
        <v>81.25</v>
      </c>
      <c r="I42" s="261">
        <f>VLOOKUP($A42,[1]Planilha!$A$18:$BK$553,62,FALSE)</f>
        <v>81.25</v>
      </c>
      <c r="J42" s="261">
        <f t="shared" si="1"/>
        <v>0</v>
      </c>
      <c r="K42" s="277">
        <f>VLOOKUP(A42,[2]Plan1!$H$2:$J$279,3,FALSE)</f>
        <v>57.332278000000002</v>
      </c>
      <c r="L42" s="261">
        <f>VLOOKUP($A42,[1]Planilha!$A$18:$BK$553,52,FALSE)</f>
        <v>57.33</v>
      </c>
      <c r="M42" s="261">
        <f t="shared" si="2"/>
        <v>2.278000000003999E-3</v>
      </c>
      <c r="N42" s="277">
        <f t="shared" ref="N42:N54" si="41">ROUND(K42/0.723358,2)</f>
        <v>79.260000000000005</v>
      </c>
      <c r="O42" s="261">
        <f>VLOOKUP($A42,[1]Planilha!$A$18:$BK$553,60,FALSE)</f>
        <v>79.260000000000005</v>
      </c>
      <c r="P42" s="261">
        <f t="shared" si="3"/>
        <v>0</v>
      </c>
      <c r="Q42" s="277">
        <f t="shared" ref="Q42:Q55" si="42">ROUND(K42*0.993939,2)</f>
        <v>56.98</v>
      </c>
      <c r="R42" s="261">
        <f>VLOOKUP($A42,[1]Planilha!$A$18:$BK$553,51,FALSE)</f>
        <v>56.98</v>
      </c>
      <c r="S42" s="261">
        <f t="shared" si="4"/>
        <v>0</v>
      </c>
      <c r="T42" s="277">
        <f t="shared" ref="T42:T55" si="43">ROUND(Q42/0.723358,2)</f>
        <v>78.77</v>
      </c>
      <c r="U42" s="261">
        <f>VLOOKUP($A42,[1]Planilha!$A$18:$BK$553,59,FALSE)</f>
        <v>78.77</v>
      </c>
      <c r="V42" s="261">
        <f t="shared" si="5"/>
        <v>0</v>
      </c>
      <c r="W42" s="277">
        <f t="shared" si="17"/>
        <v>56.64</v>
      </c>
      <c r="X42" s="261">
        <f>VLOOKUP($A42,[1]Planilha!$A$18:$BK$553,50,FALSE)</f>
        <v>56.64</v>
      </c>
      <c r="Y42" s="261">
        <f t="shared" si="6"/>
        <v>0</v>
      </c>
      <c r="Z42" s="277">
        <f t="shared" si="12"/>
        <v>78.3</v>
      </c>
      <c r="AA42" s="261">
        <f>VLOOKUP($A42,[1]Planilha!$A$18:$BK$553,58,FALSE)</f>
        <v>78.3</v>
      </c>
      <c r="AB42" s="261">
        <f t="shared" si="7"/>
        <v>0</v>
      </c>
      <c r="AC42" s="277">
        <f t="shared" si="30"/>
        <v>53.42</v>
      </c>
      <c r="AD42" s="261">
        <f>VLOOKUP($A42,[1]Planilha!$A$18:$BK$553,49,FALSE)</f>
        <v>53.42</v>
      </c>
      <c r="AE42" s="261">
        <f t="shared" si="8"/>
        <v>0</v>
      </c>
      <c r="AF42" s="278">
        <f t="shared" si="31"/>
        <v>73.849999999999994</v>
      </c>
      <c r="AG42" s="261">
        <f>VLOOKUP($A42,[1]Planilha!$A$18:$BK$553,57,FALSE)</f>
        <v>73.849999999999994</v>
      </c>
      <c r="AH42" s="261">
        <f t="shared" si="9"/>
        <v>0</v>
      </c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</row>
    <row r="43" spans="1:46" s="124" customFormat="1">
      <c r="A43" s="232">
        <v>7891721040115</v>
      </c>
      <c r="B43" s="126">
        <v>1008901940111</v>
      </c>
      <c r="C43" s="121" t="s">
        <v>543</v>
      </c>
      <c r="D43" s="92" t="s">
        <v>537</v>
      </c>
      <c r="E43" s="267">
        <f t="shared" si="39"/>
        <v>33.840000000000003</v>
      </c>
      <c r="F43" s="261">
        <f>VLOOKUP($A43,[1]Planilha!$A$18:$BK$553,54,FALSE)</f>
        <v>33.42</v>
      </c>
      <c r="G43" s="261">
        <f t="shared" si="0"/>
        <v>0.42000000000000171</v>
      </c>
      <c r="H43" s="267">
        <f t="shared" si="40"/>
        <v>46.78</v>
      </c>
      <c r="I43" s="261">
        <f>VLOOKUP($A43,[1]Planilha!$A$18:$BK$553,62,FALSE)</f>
        <v>46.78</v>
      </c>
      <c r="J43" s="261">
        <f t="shared" si="1"/>
        <v>0</v>
      </c>
      <c r="K43" s="277">
        <f>VLOOKUP(A43,[2]Plan1!$H$2:$J$279,3,FALSE)</f>
        <v>33.010117999999999</v>
      </c>
      <c r="L43" s="261">
        <f>VLOOKUP($A43,[1]Planilha!$A$18:$BK$553,52,FALSE)</f>
        <v>33.01</v>
      </c>
      <c r="M43" s="261">
        <f t="shared" si="2"/>
        <v>1.1800000000050659E-4</v>
      </c>
      <c r="N43" s="267">
        <f t="shared" si="41"/>
        <v>45.63</v>
      </c>
      <c r="O43" s="261">
        <f>VLOOKUP($A43,[1]Planilha!$A$18:$BK$553,60,FALSE)</f>
        <v>45.63</v>
      </c>
      <c r="P43" s="261">
        <f t="shared" si="3"/>
        <v>0</v>
      </c>
      <c r="Q43" s="267">
        <f t="shared" si="42"/>
        <v>32.81</v>
      </c>
      <c r="R43" s="261">
        <f>VLOOKUP($A43,[1]Planilha!$A$18:$BK$553,51,FALSE)</f>
        <v>32.81</v>
      </c>
      <c r="S43" s="261">
        <f t="shared" si="4"/>
        <v>0</v>
      </c>
      <c r="T43" s="267">
        <f t="shared" si="43"/>
        <v>45.36</v>
      </c>
      <c r="U43" s="261">
        <f>VLOOKUP($A43,[1]Planilha!$A$18:$BK$553,59,FALSE)</f>
        <v>45.36</v>
      </c>
      <c r="V43" s="261">
        <f t="shared" si="5"/>
        <v>0</v>
      </c>
      <c r="W43" s="267">
        <f t="shared" si="17"/>
        <v>32.61</v>
      </c>
      <c r="X43" s="261">
        <f>VLOOKUP($A43,[1]Planilha!$A$18:$BK$553,50,FALSE)</f>
        <v>32.61</v>
      </c>
      <c r="Y43" s="261">
        <f t="shared" si="6"/>
        <v>0</v>
      </c>
      <c r="Z43" s="267">
        <f t="shared" si="12"/>
        <v>45.08</v>
      </c>
      <c r="AA43" s="261">
        <f>VLOOKUP($A43,[1]Planilha!$A$18:$BK$553,58,FALSE)</f>
        <v>45.08</v>
      </c>
      <c r="AB43" s="261">
        <f t="shared" si="7"/>
        <v>0</v>
      </c>
      <c r="AC43" s="267">
        <f t="shared" si="30"/>
        <v>30.76</v>
      </c>
      <c r="AD43" s="261">
        <f>VLOOKUP($A43,[1]Planilha!$A$18:$BK$553,49,FALSE)</f>
        <v>30.76</v>
      </c>
      <c r="AE43" s="261">
        <f t="shared" si="8"/>
        <v>0</v>
      </c>
      <c r="AF43" s="268">
        <f t="shared" si="31"/>
        <v>42.52</v>
      </c>
      <c r="AG43" s="261">
        <f>VLOOKUP($A43,[1]Planilha!$A$18:$BK$553,57,FALSE)</f>
        <v>42.52</v>
      </c>
      <c r="AH43" s="261">
        <f t="shared" si="9"/>
        <v>0</v>
      </c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</row>
    <row r="44" spans="1:46" s="124" customFormat="1">
      <c r="A44" s="232">
        <v>7891721070655</v>
      </c>
      <c r="B44" s="126" t="s">
        <v>46</v>
      </c>
      <c r="C44" s="121" t="s">
        <v>396</v>
      </c>
      <c r="D44" s="92" t="s">
        <v>362</v>
      </c>
      <c r="E44" s="267">
        <f t="shared" si="39"/>
        <v>67.680000000000007</v>
      </c>
      <c r="F44" s="261">
        <f>VLOOKUP($A44,[1]Planilha!$A$18:$BK$553,54,FALSE)</f>
        <v>66.849999999999994</v>
      </c>
      <c r="G44" s="261">
        <f t="shared" si="0"/>
        <v>0.83000000000001251</v>
      </c>
      <c r="H44" s="267">
        <f t="shared" si="40"/>
        <v>93.56</v>
      </c>
      <c r="I44" s="261">
        <f>VLOOKUP($A44,[1]Planilha!$A$18:$BK$553,62,FALSE)</f>
        <v>93.56</v>
      </c>
      <c r="J44" s="261">
        <f t="shared" si="1"/>
        <v>0</v>
      </c>
      <c r="K44" s="277">
        <f>VLOOKUP(A44,[2]Plan1!$H$2:$J$279,3,FALSE)</f>
        <v>66.030541999999997</v>
      </c>
      <c r="L44" s="261">
        <f>VLOOKUP($A44,[1]Planilha!$A$18:$BK$553,52,FALSE)</f>
        <v>66.03</v>
      </c>
      <c r="M44" s="261">
        <f t="shared" si="2"/>
        <v>5.419999999958236E-4</v>
      </c>
      <c r="N44" s="267">
        <f t="shared" si="41"/>
        <v>91.28</v>
      </c>
      <c r="O44" s="261">
        <f>VLOOKUP($A44,[1]Planilha!$A$18:$BK$553,60,FALSE)</f>
        <v>91.28</v>
      </c>
      <c r="P44" s="261">
        <f t="shared" si="3"/>
        <v>0</v>
      </c>
      <c r="Q44" s="267">
        <f t="shared" si="42"/>
        <v>65.63</v>
      </c>
      <c r="R44" s="261">
        <f>VLOOKUP($A44,[1]Planilha!$A$18:$BK$553,51,FALSE)</f>
        <v>65.63</v>
      </c>
      <c r="S44" s="261">
        <f t="shared" si="4"/>
        <v>0</v>
      </c>
      <c r="T44" s="267">
        <f t="shared" si="43"/>
        <v>90.73</v>
      </c>
      <c r="U44" s="261">
        <f>VLOOKUP($A44,[1]Planilha!$A$18:$BK$553,59,FALSE)</f>
        <v>90.73</v>
      </c>
      <c r="V44" s="261">
        <f t="shared" si="5"/>
        <v>0</v>
      </c>
      <c r="W44" s="484">
        <v>65.23</v>
      </c>
      <c r="X44" s="261">
        <f>VLOOKUP($A44,[1]Planilha!$A$18:$BK$553,50,FALSE)</f>
        <v>65.23</v>
      </c>
      <c r="Y44" s="261">
        <f t="shared" si="6"/>
        <v>0</v>
      </c>
      <c r="Z44" s="267">
        <f t="shared" si="12"/>
        <v>90.18</v>
      </c>
      <c r="AA44" s="261">
        <f>VLOOKUP($A44,[1]Planilha!$A$18:$BK$553,58,FALSE)</f>
        <v>90.18</v>
      </c>
      <c r="AB44" s="261">
        <f t="shared" si="7"/>
        <v>0</v>
      </c>
      <c r="AC44" s="267">
        <f t="shared" si="30"/>
        <v>61.53</v>
      </c>
      <c r="AD44" s="261">
        <f>VLOOKUP($A44,[1]Planilha!$A$18:$BK$553,49,FALSE)</f>
        <v>61.53</v>
      </c>
      <c r="AE44" s="261">
        <f t="shared" si="8"/>
        <v>0</v>
      </c>
      <c r="AF44" s="268">
        <f t="shared" si="31"/>
        <v>85.06</v>
      </c>
      <c r="AG44" s="261">
        <f>VLOOKUP($A44,[1]Planilha!$A$18:$BK$553,57,FALSE)</f>
        <v>85.06</v>
      </c>
      <c r="AH44" s="261">
        <f t="shared" si="9"/>
        <v>0</v>
      </c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</row>
    <row r="45" spans="1:46" s="124" customFormat="1">
      <c r="A45" s="232">
        <v>7891721040122</v>
      </c>
      <c r="B45" s="126">
        <v>1008901940233</v>
      </c>
      <c r="C45" s="121" t="s">
        <v>544</v>
      </c>
      <c r="D45" s="92" t="s">
        <v>538</v>
      </c>
      <c r="E45" s="267">
        <f t="shared" si="39"/>
        <v>41.15</v>
      </c>
      <c r="F45" s="261">
        <f>VLOOKUP($A45,[1]Planilha!$A$18:$BK$553,54,FALSE)</f>
        <v>40.64</v>
      </c>
      <c r="G45" s="261">
        <f t="shared" si="0"/>
        <v>0.50999999999999801</v>
      </c>
      <c r="H45" s="267">
        <f t="shared" si="40"/>
        <v>56.89</v>
      </c>
      <c r="I45" s="261">
        <f>VLOOKUP($A45,[1]Planilha!$A$18:$BK$553,62,FALSE)</f>
        <v>56.87</v>
      </c>
      <c r="J45" s="261">
        <f t="shared" si="1"/>
        <v>2.0000000000003126E-2</v>
      </c>
      <c r="K45" s="277">
        <f>VLOOKUP(A45,[2]Plan1!$H$2:$J$279,3,FALSE)</f>
        <v>40.141870000000004</v>
      </c>
      <c r="L45" s="261">
        <f>VLOOKUP($A45,[1]Planilha!$A$18:$BK$553,52,FALSE)</f>
        <v>40.14</v>
      </c>
      <c r="M45" s="261">
        <f t="shared" si="2"/>
        <v>1.8700000000038131E-3</v>
      </c>
      <c r="N45" s="267">
        <f>ROUND(K45/0.723358,2)</f>
        <v>55.49</v>
      </c>
      <c r="O45" s="261">
        <f>VLOOKUP($A45,[1]Planilha!$A$18:$BK$553,60,FALSE)</f>
        <v>55.49</v>
      </c>
      <c r="P45" s="261">
        <f t="shared" si="3"/>
        <v>0</v>
      </c>
      <c r="Q45" s="267">
        <f t="shared" si="42"/>
        <v>39.9</v>
      </c>
      <c r="R45" s="261">
        <f>VLOOKUP($A45,[1]Planilha!$A$18:$BK$553,51,FALSE)</f>
        <v>39.9</v>
      </c>
      <c r="S45" s="261">
        <f t="shared" si="4"/>
        <v>0</v>
      </c>
      <c r="T45" s="267">
        <f t="shared" si="43"/>
        <v>55.16</v>
      </c>
      <c r="U45" s="261">
        <f>VLOOKUP($A45,[1]Planilha!$A$18:$BK$553,59,FALSE)</f>
        <v>55.16</v>
      </c>
      <c r="V45" s="261">
        <f t="shared" si="5"/>
        <v>0</v>
      </c>
      <c r="W45" s="267">
        <f t="shared" si="17"/>
        <v>39.659999999999997</v>
      </c>
      <c r="X45" s="261">
        <f>VLOOKUP($A45,[1]Planilha!$A$18:$BK$553,50,FALSE)</f>
        <v>39.659999999999997</v>
      </c>
      <c r="Y45" s="261">
        <f t="shared" si="6"/>
        <v>0</v>
      </c>
      <c r="Z45" s="267">
        <f t="shared" si="12"/>
        <v>54.83</v>
      </c>
      <c r="AA45" s="261">
        <f>VLOOKUP($A45,[1]Planilha!$A$18:$BK$553,58,FALSE)</f>
        <v>54.83</v>
      </c>
      <c r="AB45" s="261">
        <f t="shared" si="7"/>
        <v>0</v>
      </c>
      <c r="AC45" s="267">
        <f t="shared" si="30"/>
        <v>37.4</v>
      </c>
      <c r="AD45" s="261">
        <f>VLOOKUP($A45,[1]Planilha!$A$18:$BK$553,49,FALSE)</f>
        <v>37.4</v>
      </c>
      <c r="AE45" s="261">
        <f t="shared" si="8"/>
        <v>0</v>
      </c>
      <c r="AF45" s="268">
        <f t="shared" si="31"/>
        <v>51.7</v>
      </c>
      <c r="AG45" s="261">
        <f>VLOOKUP($A45,[1]Planilha!$A$18:$BK$553,57,FALSE)</f>
        <v>51.7</v>
      </c>
      <c r="AH45" s="261">
        <f t="shared" si="9"/>
        <v>0</v>
      </c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</row>
    <row r="46" spans="1:46" s="124" customFormat="1">
      <c r="A46" s="232">
        <v>7891721070785</v>
      </c>
      <c r="B46" s="126" t="s">
        <v>47</v>
      </c>
      <c r="C46" s="121" t="s">
        <v>397</v>
      </c>
      <c r="D46" s="92" t="s">
        <v>314</v>
      </c>
      <c r="E46" s="267">
        <f t="shared" si="39"/>
        <v>82.31</v>
      </c>
      <c r="F46" s="261">
        <f>VLOOKUP($A46,[1]Planilha!$A$18:$BK$553,54,FALSE)</f>
        <v>81.3</v>
      </c>
      <c r="G46" s="261">
        <f t="shared" si="0"/>
        <v>1.0100000000000051</v>
      </c>
      <c r="H46" s="267">
        <f t="shared" si="40"/>
        <v>113.79</v>
      </c>
      <c r="I46" s="261">
        <f>VLOOKUP($A46,[1]Planilha!$A$18:$BK$553,62,FALSE)</f>
        <v>113.79</v>
      </c>
      <c r="J46" s="261">
        <f t="shared" si="1"/>
        <v>0</v>
      </c>
      <c r="K46" s="277">
        <f>VLOOKUP(A46,[2]Plan1!$H$2:$J$279,3,FALSE)</f>
        <v>80.304351999999994</v>
      </c>
      <c r="L46" s="261">
        <f>VLOOKUP($A46,[1]Planilha!$A$18:$BK$553,52,FALSE)</f>
        <v>80.3</v>
      </c>
      <c r="M46" s="261">
        <f t="shared" si="2"/>
        <v>4.351999999997247E-3</v>
      </c>
      <c r="N46" s="267">
        <f t="shared" si="41"/>
        <v>111.02</v>
      </c>
      <c r="O46" s="261">
        <f>VLOOKUP($A46,[1]Planilha!$A$18:$BK$553,60,FALSE)</f>
        <v>111.02</v>
      </c>
      <c r="P46" s="261">
        <f t="shared" si="3"/>
        <v>0</v>
      </c>
      <c r="Q46" s="267">
        <f t="shared" si="42"/>
        <v>79.819999999999993</v>
      </c>
      <c r="R46" s="261">
        <f>VLOOKUP($A46,[1]Planilha!$A$18:$BK$553,51,FALSE)</f>
        <v>79.819999999999993</v>
      </c>
      <c r="S46" s="261">
        <f t="shared" si="4"/>
        <v>0</v>
      </c>
      <c r="T46" s="267">
        <f t="shared" si="43"/>
        <v>110.35</v>
      </c>
      <c r="U46" s="261">
        <f>VLOOKUP($A46,[1]Planilha!$A$18:$BK$553,59,FALSE)</f>
        <v>110.35</v>
      </c>
      <c r="V46" s="261">
        <f t="shared" si="5"/>
        <v>0</v>
      </c>
      <c r="W46" s="267">
        <f t="shared" si="17"/>
        <v>79.34</v>
      </c>
      <c r="X46" s="261">
        <f>VLOOKUP($A46,[1]Planilha!$A$18:$BK$553,50,FALSE)</f>
        <v>79.34</v>
      </c>
      <c r="Y46" s="261">
        <f t="shared" si="6"/>
        <v>0</v>
      </c>
      <c r="Z46" s="267">
        <f t="shared" si="12"/>
        <v>109.68</v>
      </c>
      <c r="AA46" s="261">
        <f>VLOOKUP($A46,[1]Planilha!$A$18:$BK$553,58,FALSE)</f>
        <v>109.68</v>
      </c>
      <c r="AB46" s="261">
        <f t="shared" si="7"/>
        <v>0</v>
      </c>
      <c r="AC46" s="267">
        <f t="shared" si="30"/>
        <v>74.83</v>
      </c>
      <c r="AD46" s="261">
        <f>VLOOKUP($A46,[1]Planilha!$A$18:$BK$553,49,FALSE)</f>
        <v>74.83</v>
      </c>
      <c r="AE46" s="261">
        <f t="shared" si="8"/>
        <v>0</v>
      </c>
      <c r="AF46" s="268">
        <f t="shared" si="31"/>
        <v>103.45</v>
      </c>
      <c r="AG46" s="261">
        <f>VLOOKUP($A46,[1]Planilha!$A$18:$BK$553,57,FALSE)</f>
        <v>103.45</v>
      </c>
      <c r="AH46" s="261">
        <f t="shared" si="9"/>
        <v>0</v>
      </c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</row>
    <row r="47" spans="1:46" s="124" customFormat="1">
      <c r="A47" s="232">
        <v>7891721070914</v>
      </c>
      <c r="B47" s="126" t="s">
        <v>45</v>
      </c>
      <c r="C47" s="121" t="s">
        <v>398</v>
      </c>
      <c r="D47" s="92" t="s">
        <v>315</v>
      </c>
      <c r="E47" s="267">
        <f t="shared" si="39"/>
        <v>93.79</v>
      </c>
      <c r="F47" s="261">
        <f>VLOOKUP($A47,[1]Planilha!$A$18:$BK$553,54,FALSE)</f>
        <v>92.64</v>
      </c>
      <c r="G47" s="261">
        <f t="shared" si="0"/>
        <v>1.1500000000000057</v>
      </c>
      <c r="H47" s="267">
        <f t="shared" si="40"/>
        <v>129.66</v>
      </c>
      <c r="I47" s="261">
        <f>VLOOKUP($A47,[1]Planilha!$A$18:$BK$553,62,FALSE)</f>
        <v>129.66</v>
      </c>
      <c r="J47" s="261">
        <f t="shared" si="1"/>
        <v>0</v>
      </c>
      <c r="K47" s="277">
        <f>VLOOKUP(A47,[2]Plan1!$H$2:$J$279,3,FALSE)</f>
        <v>91.506974</v>
      </c>
      <c r="L47" s="261">
        <f>VLOOKUP($A47,[1]Planilha!$A$18:$BK$553,52,FALSE)</f>
        <v>91.51</v>
      </c>
      <c r="M47" s="261">
        <f t="shared" si="2"/>
        <v>-3.0260000000055243E-3</v>
      </c>
      <c r="N47" s="267">
        <f t="shared" si="41"/>
        <v>126.5</v>
      </c>
      <c r="O47" s="261">
        <f>VLOOKUP($A47,[1]Planilha!$A$18:$BK$553,60,FALSE)</f>
        <v>126.5</v>
      </c>
      <c r="P47" s="261">
        <f t="shared" si="3"/>
        <v>0</v>
      </c>
      <c r="Q47" s="267">
        <f t="shared" si="42"/>
        <v>90.95</v>
      </c>
      <c r="R47" s="261">
        <f>VLOOKUP($A47,[1]Planilha!$A$18:$BK$553,51,FALSE)</f>
        <v>90.95</v>
      </c>
      <c r="S47" s="261">
        <f t="shared" si="4"/>
        <v>0</v>
      </c>
      <c r="T47" s="267">
        <f t="shared" si="43"/>
        <v>125.73</v>
      </c>
      <c r="U47" s="261">
        <f>VLOOKUP($A47,[1]Planilha!$A$18:$BK$553,59,FALSE)</f>
        <v>125.73</v>
      </c>
      <c r="V47" s="261">
        <f t="shared" si="5"/>
        <v>0</v>
      </c>
      <c r="W47" s="267">
        <f t="shared" si="17"/>
        <v>90.4</v>
      </c>
      <c r="X47" s="261">
        <f>VLOOKUP($A47,[1]Planilha!$A$18:$BK$553,50,FALSE)</f>
        <v>90.4</v>
      </c>
      <c r="Y47" s="261">
        <f t="shared" si="6"/>
        <v>0</v>
      </c>
      <c r="Z47" s="267">
        <f t="shared" si="12"/>
        <v>124.97</v>
      </c>
      <c r="AA47" s="261">
        <f>VLOOKUP($A47,[1]Planilha!$A$18:$BK$553,58,FALSE)</f>
        <v>124.97</v>
      </c>
      <c r="AB47" s="261">
        <f t="shared" si="7"/>
        <v>0</v>
      </c>
      <c r="AC47" s="267">
        <f t="shared" si="30"/>
        <v>85.27</v>
      </c>
      <c r="AD47" s="261">
        <f>VLOOKUP($A47,[1]Planilha!$A$18:$BK$553,49,FALSE)</f>
        <v>85.27</v>
      </c>
      <c r="AE47" s="261">
        <f t="shared" si="8"/>
        <v>0</v>
      </c>
      <c r="AF47" s="268">
        <f t="shared" si="31"/>
        <v>117.88</v>
      </c>
      <c r="AG47" s="261">
        <f>VLOOKUP($A47,[1]Planilha!$A$18:$BK$553,57,FALSE)</f>
        <v>117.88</v>
      </c>
      <c r="AH47" s="261">
        <f t="shared" si="9"/>
        <v>0</v>
      </c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</row>
    <row r="48" spans="1:46" s="124" customFormat="1">
      <c r="A48" s="232">
        <v>7891721024917</v>
      </c>
      <c r="B48" s="126">
        <v>1008901940446</v>
      </c>
      <c r="C48" s="121">
        <v>3191260003</v>
      </c>
      <c r="D48" s="92" t="s">
        <v>756</v>
      </c>
      <c r="E48" s="267">
        <f t="shared" si="39"/>
        <v>41.97</v>
      </c>
      <c r="F48" s="261">
        <f>VLOOKUP($A48,[1]Planilha!$A$18:$BK$553,54,FALSE)</f>
        <v>41.45</v>
      </c>
      <c r="G48" s="261">
        <f t="shared" si="0"/>
        <v>0.51999999999999602</v>
      </c>
      <c r="H48" s="267">
        <f t="shared" si="40"/>
        <v>58.02</v>
      </c>
      <c r="I48" s="261">
        <f>VLOOKUP($A48,[1]Planilha!$A$18:$BK$553,62,FALSE)</f>
        <v>58.02</v>
      </c>
      <c r="J48" s="261">
        <f t="shared" si="1"/>
        <v>0</v>
      </c>
      <c r="K48" s="277">
        <f>VLOOKUP(A48,[2]Plan1!$H$2:$J$279,3,FALSE)</f>
        <v>40.945737999999999</v>
      </c>
      <c r="L48" s="261">
        <f>VLOOKUP($A48,[1]Planilha!$A$18:$BK$553,52,FALSE)</f>
        <v>40.950000000000003</v>
      </c>
      <c r="M48" s="261">
        <f t="shared" si="2"/>
        <v>-4.2620000000042069E-3</v>
      </c>
      <c r="N48" s="484">
        <v>56.6</v>
      </c>
      <c r="O48" s="261">
        <f>VLOOKUP($A48,[1]Planilha!$A$18:$BK$553,60,FALSE)</f>
        <v>56.6</v>
      </c>
      <c r="P48" s="261">
        <f t="shared" si="3"/>
        <v>0</v>
      </c>
      <c r="Q48" s="267">
        <f t="shared" si="42"/>
        <v>40.700000000000003</v>
      </c>
      <c r="R48" s="261">
        <f>VLOOKUP($A48,[1]Planilha!$A$18:$BK$553,51,FALSE)</f>
        <v>40.700000000000003</v>
      </c>
      <c r="S48" s="261">
        <f t="shared" si="4"/>
        <v>0</v>
      </c>
      <c r="T48" s="267">
        <f t="shared" si="43"/>
        <v>56.27</v>
      </c>
      <c r="U48" s="261">
        <f>VLOOKUP($A48,[1]Planilha!$A$18:$BK$553,59,FALSE)</f>
        <v>56.27</v>
      </c>
      <c r="V48" s="261">
        <f t="shared" si="5"/>
        <v>0</v>
      </c>
      <c r="W48" s="267">
        <f t="shared" si="17"/>
        <v>40.450000000000003</v>
      </c>
      <c r="X48" s="261">
        <f>VLOOKUP($A48,[1]Planilha!$A$18:$BK$553,50,FALSE)</f>
        <v>40.450000000000003</v>
      </c>
      <c r="Y48" s="261">
        <f t="shared" si="6"/>
        <v>0</v>
      </c>
      <c r="Z48" s="267">
        <f t="shared" si="12"/>
        <v>55.92</v>
      </c>
      <c r="AA48" s="261">
        <f>VLOOKUP($A48,[1]Planilha!$A$18:$BK$553,58,FALSE)</f>
        <v>55.92</v>
      </c>
      <c r="AB48" s="261">
        <f t="shared" si="7"/>
        <v>0</v>
      </c>
      <c r="AC48" s="267">
        <f t="shared" si="30"/>
        <v>38.15</v>
      </c>
      <c r="AD48" s="261">
        <f>VLOOKUP($A48,[1]Planilha!$A$18:$BK$553,49,FALSE)</f>
        <v>38.15</v>
      </c>
      <c r="AE48" s="261">
        <f t="shared" si="8"/>
        <v>0</v>
      </c>
      <c r="AF48" s="268">
        <f t="shared" si="31"/>
        <v>52.74</v>
      </c>
      <c r="AG48" s="261">
        <f>VLOOKUP($A48,[1]Planilha!$A$18:$BK$553,57,FALSE)</f>
        <v>52.74</v>
      </c>
      <c r="AH48" s="261">
        <f t="shared" si="9"/>
        <v>0</v>
      </c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</row>
    <row r="49" spans="1:46" s="124" customFormat="1">
      <c r="A49" s="232">
        <v>7891721024924</v>
      </c>
      <c r="B49" s="126">
        <v>1008901940454</v>
      </c>
      <c r="C49" s="121">
        <v>3191260001</v>
      </c>
      <c r="D49" s="92" t="s">
        <v>757</v>
      </c>
      <c r="E49" s="267">
        <f t="shared" si="39"/>
        <v>62.95</v>
      </c>
      <c r="F49" s="261">
        <f>VLOOKUP($A49,[1]Planilha!$A$18:$BK$553,54,FALSE)</f>
        <v>62.17</v>
      </c>
      <c r="G49" s="261">
        <f t="shared" si="0"/>
        <v>0.78000000000000114</v>
      </c>
      <c r="H49" s="267">
        <f t="shared" si="40"/>
        <v>87.02</v>
      </c>
      <c r="I49" s="261">
        <f>VLOOKUP($A49,[1]Planilha!$A$18:$BK$553,62,FALSE)</f>
        <v>87.02</v>
      </c>
      <c r="J49" s="261">
        <f t="shared" si="1"/>
        <v>0</v>
      </c>
      <c r="K49" s="277">
        <f>VLOOKUP(A49,[2]Plan1!$H$2:$J$279,3,FALSE)</f>
        <v>61.413454000000002</v>
      </c>
      <c r="L49" s="261">
        <f>VLOOKUP($A49,[1]Planilha!$A$18:$BK$553,52,FALSE)</f>
        <v>61.41</v>
      </c>
      <c r="M49" s="261">
        <f t="shared" si="2"/>
        <v>3.4540000000049531E-3</v>
      </c>
      <c r="N49" s="267">
        <f t="shared" si="41"/>
        <v>84.9</v>
      </c>
      <c r="O49" s="261">
        <f>VLOOKUP($A49,[1]Planilha!$A$18:$BK$553,60,FALSE)</f>
        <v>84.9</v>
      </c>
      <c r="P49" s="261">
        <f t="shared" si="3"/>
        <v>0</v>
      </c>
      <c r="Q49" s="267">
        <f t="shared" si="42"/>
        <v>61.04</v>
      </c>
      <c r="R49" s="261">
        <f>VLOOKUP($A49,[1]Planilha!$A$18:$BK$553,51,FALSE)</f>
        <v>61.04</v>
      </c>
      <c r="S49" s="261">
        <f t="shared" si="4"/>
        <v>0</v>
      </c>
      <c r="T49" s="267">
        <f t="shared" si="43"/>
        <v>84.38</v>
      </c>
      <c r="U49" s="261">
        <f>VLOOKUP($A49,[1]Planilha!$A$18:$BK$553,59,FALSE)</f>
        <v>84.38</v>
      </c>
      <c r="V49" s="261">
        <f t="shared" si="5"/>
        <v>0</v>
      </c>
      <c r="W49" s="267">
        <f t="shared" si="17"/>
        <v>60.67</v>
      </c>
      <c r="X49" s="261">
        <f>VLOOKUP($A49,[1]Planilha!$A$18:$BK$553,50,FALSE)</f>
        <v>60.67</v>
      </c>
      <c r="Y49" s="261">
        <f t="shared" si="6"/>
        <v>0</v>
      </c>
      <c r="Z49" s="267">
        <f t="shared" si="12"/>
        <v>83.87</v>
      </c>
      <c r="AA49" s="261">
        <f>VLOOKUP($A49,[1]Planilha!$A$18:$BK$553,58,FALSE)</f>
        <v>83.87</v>
      </c>
      <c r="AB49" s="261">
        <f t="shared" si="7"/>
        <v>0</v>
      </c>
      <c r="AC49" s="267">
        <f t="shared" si="30"/>
        <v>57.23</v>
      </c>
      <c r="AD49" s="261">
        <f>VLOOKUP($A49,[1]Planilha!$A$18:$BK$553,49,FALSE)</f>
        <v>57.23</v>
      </c>
      <c r="AE49" s="261">
        <f t="shared" si="8"/>
        <v>0</v>
      </c>
      <c r="AF49" s="268">
        <f t="shared" si="31"/>
        <v>79.12</v>
      </c>
      <c r="AG49" s="261">
        <f>VLOOKUP($A49,[1]Planilha!$A$18:$BK$553,57,FALSE)</f>
        <v>79.12</v>
      </c>
      <c r="AH49" s="261">
        <f t="shared" si="9"/>
        <v>0</v>
      </c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</row>
    <row r="50" spans="1:46" s="124" customFormat="1">
      <c r="A50" s="232">
        <v>7891721024979</v>
      </c>
      <c r="B50" s="126">
        <v>1008901940500</v>
      </c>
      <c r="C50" s="121">
        <v>3290610001</v>
      </c>
      <c r="D50" s="92" t="s">
        <v>758</v>
      </c>
      <c r="E50" s="267">
        <f t="shared" si="39"/>
        <v>48.34</v>
      </c>
      <c r="F50" s="261">
        <f>VLOOKUP($A50,[1]Planilha!$A$18:$BK$553,54,FALSE)</f>
        <v>47.74</v>
      </c>
      <c r="G50" s="261">
        <f t="shared" si="0"/>
        <v>0.60000000000000142</v>
      </c>
      <c r="H50" s="267">
        <f t="shared" si="40"/>
        <v>66.83</v>
      </c>
      <c r="I50" s="261">
        <f>VLOOKUP($A50,[1]Planilha!$A$18:$BK$553,62,FALSE)</f>
        <v>66.83</v>
      </c>
      <c r="J50" s="261">
        <f t="shared" si="1"/>
        <v>0</v>
      </c>
      <c r="K50" s="277">
        <f>VLOOKUP(A50,[2]Plan1!$H$2:$J$279,3,FALSE)</f>
        <v>47.160255999999997</v>
      </c>
      <c r="L50" s="261">
        <f>VLOOKUP($A50,[1]Planilha!$A$18:$BK$553,52,FALSE)</f>
        <v>47.16</v>
      </c>
      <c r="M50" s="261">
        <f t="shared" si="2"/>
        <v>2.5600000000025602E-4</v>
      </c>
      <c r="N50" s="267">
        <f t="shared" si="41"/>
        <v>65.2</v>
      </c>
      <c r="O50" s="261">
        <f>VLOOKUP($A50,[1]Planilha!$A$18:$BK$553,60,FALSE)</f>
        <v>65.2</v>
      </c>
      <c r="P50" s="261">
        <f t="shared" si="3"/>
        <v>0</v>
      </c>
      <c r="Q50" s="267">
        <f t="shared" si="42"/>
        <v>46.87</v>
      </c>
      <c r="R50" s="261">
        <f>VLOOKUP($A50,[1]Planilha!$A$18:$BK$553,51,FALSE)</f>
        <v>46.87</v>
      </c>
      <c r="S50" s="261">
        <f t="shared" si="4"/>
        <v>0</v>
      </c>
      <c r="T50" s="267">
        <f t="shared" si="43"/>
        <v>64.8</v>
      </c>
      <c r="U50" s="261">
        <f>VLOOKUP($A50,[1]Planilha!$A$18:$BK$553,59,FALSE)</f>
        <v>64.8</v>
      </c>
      <c r="V50" s="261">
        <f t="shared" si="5"/>
        <v>0</v>
      </c>
      <c r="W50" s="267">
        <f t="shared" si="17"/>
        <v>46.59</v>
      </c>
      <c r="X50" s="261">
        <f>VLOOKUP($A50,[1]Planilha!$A$18:$BK$553,50,FALSE)</f>
        <v>46.59</v>
      </c>
      <c r="Y50" s="261">
        <f t="shared" si="6"/>
        <v>0</v>
      </c>
      <c r="Z50" s="267">
        <f t="shared" si="12"/>
        <v>64.41</v>
      </c>
      <c r="AA50" s="261">
        <f>VLOOKUP($A50,[1]Planilha!$A$18:$BK$553,58,FALSE)</f>
        <v>64.41</v>
      </c>
      <c r="AB50" s="261">
        <f t="shared" si="7"/>
        <v>0</v>
      </c>
      <c r="AC50" s="267">
        <f t="shared" si="30"/>
        <v>43.94</v>
      </c>
      <c r="AD50" s="261">
        <f>VLOOKUP($A50,[1]Planilha!$A$18:$BK$553,49,FALSE)</f>
        <v>43.94</v>
      </c>
      <c r="AE50" s="261">
        <f t="shared" si="8"/>
        <v>0</v>
      </c>
      <c r="AF50" s="268">
        <f t="shared" si="31"/>
        <v>60.74</v>
      </c>
      <c r="AG50" s="261">
        <f>VLOOKUP($A50,[1]Planilha!$A$18:$BK$553,57,FALSE)</f>
        <v>60.74</v>
      </c>
      <c r="AH50" s="261">
        <f t="shared" si="9"/>
        <v>0</v>
      </c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</row>
    <row r="51" spans="1:46" s="124" customFormat="1">
      <c r="A51" s="232">
        <v>7891721024986</v>
      </c>
      <c r="B51" s="126">
        <v>1008901940519</v>
      </c>
      <c r="C51" s="121">
        <v>3191270001</v>
      </c>
      <c r="D51" s="92" t="s">
        <v>759</v>
      </c>
      <c r="E51" s="267">
        <f t="shared" si="39"/>
        <v>72.510000000000005</v>
      </c>
      <c r="F51" s="261">
        <f>VLOOKUP($A51,[1]Planilha!$A$18:$BK$553,54,FALSE)</f>
        <v>71.61</v>
      </c>
      <c r="G51" s="261">
        <f t="shared" si="0"/>
        <v>0.90000000000000568</v>
      </c>
      <c r="H51" s="267">
        <f t="shared" si="40"/>
        <v>100.24</v>
      </c>
      <c r="I51" s="261">
        <f>VLOOKUP($A51,[1]Planilha!$A$18:$BK$553,62,FALSE)</f>
        <v>100.24</v>
      </c>
      <c r="J51" s="261">
        <f t="shared" si="1"/>
        <v>0</v>
      </c>
      <c r="K51" s="277">
        <f>VLOOKUP(A51,[2]Plan1!$H$2:$J$279,3,FALSE)</f>
        <v>70.740383999999992</v>
      </c>
      <c r="L51" s="261">
        <f>VLOOKUP($A51,[1]Planilha!$A$18:$BK$553,52,FALSE)</f>
        <v>70.739999999999995</v>
      </c>
      <c r="M51" s="261">
        <f t="shared" si="2"/>
        <v>3.8399999999683132E-4</v>
      </c>
      <c r="N51" s="267">
        <f t="shared" si="41"/>
        <v>97.79</v>
      </c>
      <c r="O51" s="261">
        <f>VLOOKUP($A51,[1]Planilha!$A$18:$BK$553,60,FALSE)</f>
        <v>97.79</v>
      </c>
      <c r="P51" s="261">
        <f t="shared" si="3"/>
        <v>0</v>
      </c>
      <c r="Q51" s="267">
        <f t="shared" si="42"/>
        <v>70.31</v>
      </c>
      <c r="R51" s="261">
        <f>VLOOKUP($A51,[1]Planilha!$A$18:$BK$553,51,FALSE)</f>
        <v>70.31</v>
      </c>
      <c r="S51" s="261">
        <f t="shared" si="4"/>
        <v>0</v>
      </c>
      <c r="T51" s="267">
        <f t="shared" si="43"/>
        <v>97.2</v>
      </c>
      <c r="U51" s="261">
        <f>VLOOKUP($A51,[1]Planilha!$A$18:$BK$553,59,FALSE)</f>
        <v>97.2</v>
      </c>
      <c r="V51" s="261">
        <f t="shared" si="5"/>
        <v>0</v>
      </c>
      <c r="W51" s="267">
        <f t="shared" si="17"/>
        <v>69.89</v>
      </c>
      <c r="X51" s="261">
        <f>VLOOKUP($A51,[1]Planilha!$A$18:$BK$553,50,FALSE)</f>
        <v>69.89</v>
      </c>
      <c r="Y51" s="261">
        <f t="shared" si="6"/>
        <v>0</v>
      </c>
      <c r="Z51" s="267">
        <f t="shared" si="12"/>
        <v>96.62</v>
      </c>
      <c r="AA51" s="261">
        <f>VLOOKUP($A51,[1]Planilha!$A$18:$BK$553,58,FALSE)</f>
        <v>96.62</v>
      </c>
      <c r="AB51" s="261">
        <f t="shared" si="7"/>
        <v>0</v>
      </c>
      <c r="AC51" s="267">
        <f t="shared" si="30"/>
        <v>65.92</v>
      </c>
      <c r="AD51" s="261">
        <f>VLOOKUP($A51,[1]Planilha!$A$18:$BK$553,49,FALSE)</f>
        <v>65.92</v>
      </c>
      <c r="AE51" s="261">
        <f t="shared" si="8"/>
        <v>0</v>
      </c>
      <c r="AF51" s="268">
        <f t="shared" si="31"/>
        <v>91.13</v>
      </c>
      <c r="AG51" s="261">
        <f>VLOOKUP($A51,[1]Planilha!$A$18:$BK$553,57,FALSE)</f>
        <v>91.13</v>
      </c>
      <c r="AH51" s="261">
        <f t="shared" si="9"/>
        <v>0</v>
      </c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</row>
    <row r="52" spans="1:46" s="124" customFormat="1">
      <c r="A52" s="232">
        <v>7891721025099</v>
      </c>
      <c r="B52" s="126">
        <v>1008901940561</v>
      </c>
      <c r="C52" s="121">
        <v>3028030003</v>
      </c>
      <c r="D52" s="92" t="s">
        <v>760</v>
      </c>
      <c r="E52" s="267">
        <f t="shared" si="39"/>
        <v>58.79</v>
      </c>
      <c r="F52" s="261">
        <f>VLOOKUP($A52,[1]Planilha!$A$18:$BK$553,54,FALSE)</f>
        <v>58.06</v>
      </c>
      <c r="G52" s="261">
        <f t="shared" si="0"/>
        <v>0.72999999999999687</v>
      </c>
      <c r="H52" s="267">
        <f t="shared" si="40"/>
        <v>81.27</v>
      </c>
      <c r="I52" s="261">
        <f>VLOOKUP($A52,[1]Planilha!$A$18:$BK$553,62,FALSE)</f>
        <v>81.27</v>
      </c>
      <c r="J52" s="261">
        <f t="shared" si="1"/>
        <v>0</v>
      </c>
      <c r="K52" s="277">
        <f>VLOOKUP(A52,[2]Plan1!$H$2:$J$279,3,FALSE)</f>
        <v>57.352889999999995</v>
      </c>
      <c r="L52" s="261">
        <f>VLOOKUP($A52,[1]Planilha!$A$18:$BK$553,52,FALSE)</f>
        <v>57.35</v>
      </c>
      <c r="M52" s="261">
        <f t="shared" si="2"/>
        <v>2.8899999999936199E-3</v>
      </c>
      <c r="N52" s="267">
        <f t="shared" si="41"/>
        <v>79.290000000000006</v>
      </c>
      <c r="O52" s="261">
        <f>VLOOKUP($A52,[1]Planilha!$A$18:$BK$553,60,FALSE)</f>
        <v>79.290000000000006</v>
      </c>
      <c r="P52" s="261">
        <f t="shared" si="3"/>
        <v>0</v>
      </c>
      <c r="Q52" s="484">
        <v>57</v>
      </c>
      <c r="R52" s="261">
        <f>VLOOKUP($A52,[1]Planilha!$A$18:$BK$553,51,FALSE)</f>
        <v>57</v>
      </c>
      <c r="S52" s="261">
        <f t="shared" si="4"/>
        <v>0</v>
      </c>
      <c r="T52" s="267">
        <f t="shared" si="43"/>
        <v>78.8</v>
      </c>
      <c r="U52" s="261">
        <f>VLOOKUP($A52,[1]Planilha!$A$18:$BK$553,59,FALSE)</f>
        <v>78.8</v>
      </c>
      <c r="V52" s="261">
        <f t="shared" si="5"/>
        <v>0</v>
      </c>
      <c r="W52" s="267">
        <f t="shared" si="17"/>
        <v>56.66</v>
      </c>
      <c r="X52" s="261">
        <f>VLOOKUP($A52,[1]Planilha!$A$18:$BK$553,50,FALSE)</f>
        <v>56.66</v>
      </c>
      <c r="Y52" s="261">
        <f t="shared" si="6"/>
        <v>0</v>
      </c>
      <c r="Z52" s="267">
        <f t="shared" si="12"/>
        <v>78.33</v>
      </c>
      <c r="AA52" s="261">
        <f>VLOOKUP($A52,[1]Planilha!$A$18:$BK$553,58,FALSE)</f>
        <v>78.33</v>
      </c>
      <c r="AB52" s="261">
        <f t="shared" si="7"/>
        <v>0</v>
      </c>
      <c r="AC52" s="267">
        <f t="shared" si="30"/>
        <v>53.44</v>
      </c>
      <c r="AD52" s="261">
        <f>VLOOKUP($A52,[1]Planilha!$A$18:$BK$553,49,FALSE)</f>
        <v>53.44</v>
      </c>
      <c r="AE52" s="261">
        <f t="shared" si="8"/>
        <v>0</v>
      </c>
      <c r="AF52" s="268">
        <f t="shared" si="31"/>
        <v>73.88</v>
      </c>
      <c r="AG52" s="261">
        <f>VLOOKUP($A52,[1]Planilha!$A$18:$BK$553,57,FALSE)</f>
        <v>73.88</v>
      </c>
      <c r="AH52" s="261">
        <f t="shared" si="9"/>
        <v>0</v>
      </c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</row>
    <row r="53" spans="1:46" s="124" customFormat="1">
      <c r="A53" s="232">
        <v>7891721025105</v>
      </c>
      <c r="B53" s="126">
        <v>1008901940578</v>
      </c>
      <c r="C53" s="121">
        <v>3028030001</v>
      </c>
      <c r="D53" s="92" t="s">
        <v>761</v>
      </c>
      <c r="E53" s="267">
        <f t="shared" si="39"/>
        <v>88.19</v>
      </c>
      <c r="F53" s="261">
        <f>VLOOKUP($A53,[1]Planilha!$A$18:$BK$553,54,FALSE)</f>
        <v>87.1</v>
      </c>
      <c r="G53" s="261">
        <f t="shared" si="0"/>
        <v>1.0900000000000034</v>
      </c>
      <c r="H53" s="267">
        <f t="shared" si="40"/>
        <v>121.92</v>
      </c>
      <c r="I53" s="261">
        <f>VLOOKUP($A53,[1]Planilha!$A$18:$BK$553,62,FALSE)</f>
        <v>121.9</v>
      </c>
      <c r="J53" s="261">
        <f t="shared" si="1"/>
        <v>1.9999999999996021E-2</v>
      </c>
      <c r="K53" s="277">
        <f>VLOOKUP(A53,[2]Plan1!$H$2:$J$279,3,FALSE)</f>
        <v>86.034487999999996</v>
      </c>
      <c r="L53" s="261">
        <f>VLOOKUP($A53,[1]Planilha!$A$18:$BK$553,52,FALSE)</f>
        <v>86.03</v>
      </c>
      <c r="M53" s="261">
        <f t="shared" si="2"/>
        <v>4.4879999999949405E-3</v>
      </c>
      <c r="N53" s="267">
        <f t="shared" si="41"/>
        <v>118.94</v>
      </c>
      <c r="O53" s="261">
        <f>VLOOKUP($A53,[1]Planilha!$A$18:$BK$553,60,FALSE)</f>
        <v>118.94</v>
      </c>
      <c r="P53" s="261">
        <f t="shared" si="3"/>
        <v>0</v>
      </c>
      <c r="Q53" s="267">
        <f t="shared" si="42"/>
        <v>85.51</v>
      </c>
      <c r="R53" s="261">
        <f>VLOOKUP($A53,[1]Planilha!$A$18:$BK$553,51,FALSE)</f>
        <v>85.51</v>
      </c>
      <c r="S53" s="261">
        <f t="shared" si="4"/>
        <v>0</v>
      </c>
      <c r="T53" s="267">
        <f t="shared" si="43"/>
        <v>118.21</v>
      </c>
      <c r="U53" s="261">
        <f>VLOOKUP($A53,[1]Planilha!$A$18:$BK$553,59,FALSE)</f>
        <v>118.21</v>
      </c>
      <c r="V53" s="261">
        <f t="shared" si="5"/>
        <v>0</v>
      </c>
      <c r="W53" s="267">
        <f t="shared" si="17"/>
        <v>85</v>
      </c>
      <c r="X53" s="261">
        <f>VLOOKUP($A53,[1]Planilha!$A$18:$BK$553,50,FALSE)</f>
        <v>85</v>
      </c>
      <c r="Y53" s="261">
        <f t="shared" si="6"/>
        <v>0</v>
      </c>
      <c r="Z53" s="267">
        <f t="shared" si="12"/>
        <v>117.51</v>
      </c>
      <c r="AA53" s="261">
        <f>VLOOKUP($A53,[1]Planilha!$A$18:$BK$553,58,FALSE)</f>
        <v>117.51</v>
      </c>
      <c r="AB53" s="261">
        <f t="shared" si="7"/>
        <v>0</v>
      </c>
      <c r="AC53" s="267">
        <f t="shared" si="30"/>
        <v>80.17</v>
      </c>
      <c r="AD53" s="261">
        <f>VLOOKUP($A53,[1]Planilha!$A$18:$BK$553,49,FALSE)</f>
        <v>80.17</v>
      </c>
      <c r="AE53" s="261">
        <f t="shared" si="8"/>
        <v>0</v>
      </c>
      <c r="AF53" s="268">
        <f t="shared" si="31"/>
        <v>110.83</v>
      </c>
      <c r="AG53" s="261">
        <f>VLOOKUP($A53,[1]Planilha!$A$18:$BK$553,57,FALSE)</f>
        <v>110.83</v>
      </c>
      <c r="AH53" s="261">
        <f t="shared" si="9"/>
        <v>0</v>
      </c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</row>
    <row r="54" spans="1:46" s="124" customFormat="1">
      <c r="A54" s="232">
        <v>7891721025211</v>
      </c>
      <c r="B54" s="126">
        <v>1008901940624</v>
      </c>
      <c r="C54" s="121">
        <v>3191290002</v>
      </c>
      <c r="D54" s="92" t="s">
        <v>762</v>
      </c>
      <c r="E54" s="267">
        <f t="shared" si="39"/>
        <v>66.989999999999995</v>
      </c>
      <c r="F54" s="261">
        <f>VLOOKUP($A54,[1]Planilha!$A$18:$BK$553,54,FALSE)</f>
        <v>66.17</v>
      </c>
      <c r="G54" s="261">
        <f t="shared" si="0"/>
        <v>0.81999999999999318</v>
      </c>
      <c r="H54" s="267">
        <f t="shared" si="40"/>
        <v>92.61</v>
      </c>
      <c r="I54" s="261">
        <f>VLOOKUP($A54,[1]Planilha!$A$18:$BK$553,62,FALSE)</f>
        <v>92.61</v>
      </c>
      <c r="J54" s="261">
        <f t="shared" si="1"/>
        <v>0</v>
      </c>
      <c r="K54" s="277">
        <f>VLOOKUP(A54,[2]Plan1!$H$2:$J$279,3,FALSE)</f>
        <v>65.360652000000002</v>
      </c>
      <c r="L54" s="261">
        <f>VLOOKUP($A54,[1]Planilha!$A$18:$BK$553,52,FALSE)</f>
        <v>65.36</v>
      </c>
      <c r="M54" s="261">
        <f t="shared" si="2"/>
        <v>6.5200000000231739E-4</v>
      </c>
      <c r="N54" s="267">
        <f t="shared" si="41"/>
        <v>90.36</v>
      </c>
      <c r="O54" s="261">
        <f>VLOOKUP($A54,[1]Planilha!$A$18:$BK$553,60,FALSE)</f>
        <v>90.36</v>
      </c>
      <c r="P54" s="261">
        <f t="shared" si="3"/>
        <v>0</v>
      </c>
      <c r="Q54" s="267">
        <f t="shared" si="42"/>
        <v>64.959999999999994</v>
      </c>
      <c r="R54" s="261">
        <f>VLOOKUP($A54,[1]Planilha!$A$18:$BK$553,51,FALSE)</f>
        <v>64.959999999999994</v>
      </c>
      <c r="S54" s="261">
        <f t="shared" si="4"/>
        <v>0</v>
      </c>
      <c r="T54" s="267">
        <f t="shared" si="43"/>
        <v>89.8</v>
      </c>
      <c r="U54" s="261">
        <f>VLOOKUP($A54,[1]Planilha!$A$18:$BK$553,59,FALSE)</f>
        <v>89.8</v>
      </c>
      <c r="V54" s="261">
        <f t="shared" si="5"/>
        <v>0</v>
      </c>
      <c r="W54" s="267">
        <f t="shared" si="17"/>
        <v>64.569999999999993</v>
      </c>
      <c r="X54" s="261">
        <f>VLOOKUP($A54,[1]Planilha!$A$18:$BK$553,50,FALSE)</f>
        <v>64.569999999999993</v>
      </c>
      <c r="Y54" s="261">
        <f t="shared" si="6"/>
        <v>0</v>
      </c>
      <c r="Z54" s="267">
        <f t="shared" si="12"/>
        <v>89.26</v>
      </c>
      <c r="AA54" s="261">
        <f>VLOOKUP($A54,[1]Planilha!$A$18:$BK$553,58,FALSE)</f>
        <v>89.26</v>
      </c>
      <c r="AB54" s="261">
        <f t="shared" si="7"/>
        <v>0</v>
      </c>
      <c r="AC54" s="267">
        <f t="shared" si="30"/>
        <v>60.9</v>
      </c>
      <c r="AD54" s="261">
        <f>VLOOKUP($A54,[1]Planilha!$A$18:$BK$553,49,FALSE)</f>
        <v>60.9</v>
      </c>
      <c r="AE54" s="261">
        <f t="shared" si="8"/>
        <v>0</v>
      </c>
      <c r="AF54" s="268">
        <f t="shared" si="31"/>
        <v>84.19</v>
      </c>
      <c r="AG54" s="261">
        <f>VLOOKUP($A54,[1]Planilha!$A$18:$BK$553,57,FALSE)</f>
        <v>84.19</v>
      </c>
      <c r="AH54" s="261">
        <f t="shared" si="9"/>
        <v>0</v>
      </c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  <c r="AT54" s="376"/>
    </row>
    <row r="55" spans="1:46" s="124" customFormat="1" ht="13.5" thickBot="1">
      <c r="A55" s="232">
        <v>7891721025228</v>
      </c>
      <c r="B55" s="126">
        <v>1008901940632</v>
      </c>
      <c r="C55" s="126">
        <v>3191290001</v>
      </c>
      <c r="D55" s="215" t="s">
        <v>763</v>
      </c>
      <c r="E55" s="273">
        <f t="shared" si="39"/>
        <v>100.49</v>
      </c>
      <c r="F55" s="261">
        <f>VLOOKUP($A55,[1]Planilha!$A$18:$BK$553,54,FALSE)</f>
        <v>99.25</v>
      </c>
      <c r="G55" s="261">
        <f t="shared" si="0"/>
        <v>1.2399999999999949</v>
      </c>
      <c r="H55" s="273">
        <f t="shared" si="40"/>
        <v>138.91999999999999</v>
      </c>
      <c r="I55" s="261">
        <f>VLOOKUP($A55,[1]Planilha!$A$18:$BK$553,62,FALSE)</f>
        <v>138.91999999999999</v>
      </c>
      <c r="J55" s="261">
        <f t="shared" si="1"/>
        <v>0</v>
      </c>
      <c r="K55" s="277">
        <f>VLOOKUP(A55,[2]Plan1!$H$2:$J$279,3,FALSE)</f>
        <v>98.040977999999996</v>
      </c>
      <c r="L55" s="261">
        <f>VLOOKUP($A55,[1]Planilha!$A$18:$BK$553,52,FALSE)</f>
        <v>98.04</v>
      </c>
      <c r="M55" s="261">
        <f t="shared" si="2"/>
        <v>9.7799999998926523E-4</v>
      </c>
      <c r="N55" s="485">
        <v>135.53</v>
      </c>
      <c r="O55" s="261">
        <f>VLOOKUP($A55,[1]Planilha!$A$18:$BK$553,60,FALSE)</f>
        <v>135.53</v>
      </c>
      <c r="P55" s="261">
        <f t="shared" si="3"/>
        <v>0</v>
      </c>
      <c r="Q55" s="273">
        <f t="shared" si="42"/>
        <v>97.45</v>
      </c>
      <c r="R55" s="261">
        <f>VLOOKUP($A55,[1]Planilha!$A$18:$BK$553,51,FALSE)</f>
        <v>97.45</v>
      </c>
      <c r="S55" s="261">
        <f t="shared" si="4"/>
        <v>0</v>
      </c>
      <c r="T55" s="273">
        <f t="shared" si="43"/>
        <v>134.72</v>
      </c>
      <c r="U55" s="261">
        <f>VLOOKUP($A55,[1]Planilha!$A$18:$BK$553,59,FALSE)</f>
        <v>134.72</v>
      </c>
      <c r="V55" s="261">
        <f t="shared" si="5"/>
        <v>0</v>
      </c>
      <c r="W55" s="273">
        <f t="shared" si="17"/>
        <v>96.86</v>
      </c>
      <c r="X55" s="261">
        <f>VLOOKUP($A55,[1]Planilha!$A$18:$BK$553,50,FALSE)</f>
        <v>96.86</v>
      </c>
      <c r="Y55" s="261">
        <f t="shared" si="6"/>
        <v>0</v>
      </c>
      <c r="Z55" s="273">
        <f t="shared" si="12"/>
        <v>133.9</v>
      </c>
      <c r="AA55" s="261">
        <f>VLOOKUP($A55,[1]Planilha!$A$18:$BK$553,58,FALSE)</f>
        <v>133.9</v>
      </c>
      <c r="AB55" s="261">
        <f t="shared" si="7"/>
        <v>0</v>
      </c>
      <c r="AC55" s="273">
        <f t="shared" si="30"/>
        <v>91.36</v>
      </c>
      <c r="AD55" s="261">
        <f>VLOOKUP($A55,[1]Planilha!$A$18:$BK$553,49,FALSE)</f>
        <v>91.36</v>
      </c>
      <c r="AE55" s="261">
        <f t="shared" si="8"/>
        <v>0</v>
      </c>
      <c r="AF55" s="274">
        <f t="shared" si="31"/>
        <v>126.3</v>
      </c>
      <c r="AG55" s="261">
        <f>VLOOKUP($A55,[1]Planilha!$A$18:$BK$553,57,FALSE)</f>
        <v>126.3</v>
      </c>
      <c r="AH55" s="261">
        <f t="shared" si="9"/>
        <v>0</v>
      </c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  <c r="AS55" s="376"/>
      <c r="AT55" s="376"/>
    </row>
    <row r="56" spans="1:46" s="124" customFormat="1" ht="13.5" thickBot="1">
      <c r="A56" s="679"/>
      <c r="B56" s="170"/>
      <c r="C56" s="170"/>
      <c r="D56" s="171"/>
      <c r="E56" s="235"/>
      <c r="F56" s="261" t="e">
        <f>VLOOKUP($A56,[1]Planilha!$A$18:$BK$553,54,FALSE)</f>
        <v>#N/A</v>
      </c>
      <c r="G56" s="261" t="e">
        <f t="shared" si="0"/>
        <v>#N/A</v>
      </c>
      <c r="H56" s="236"/>
      <c r="I56" s="261" t="e">
        <f>VLOOKUP($A56,[1]Planilha!$A$18:$BK$553,62,FALSE)</f>
        <v>#N/A</v>
      </c>
      <c r="J56" s="261" t="e">
        <f t="shared" si="1"/>
        <v>#N/A</v>
      </c>
      <c r="K56" s="237"/>
      <c r="L56" s="261" t="e">
        <f>VLOOKUP($A56,[1]Planilha!$A$18:$BK$553,52,FALSE)</f>
        <v>#N/A</v>
      </c>
      <c r="M56" s="261" t="e">
        <f t="shared" si="2"/>
        <v>#N/A</v>
      </c>
      <c r="N56" s="236"/>
      <c r="O56" s="261" t="e">
        <f>VLOOKUP($A56,[1]Planilha!$A$18:$BK$553,60,FALSE)</f>
        <v>#N/A</v>
      </c>
      <c r="P56" s="261" t="e">
        <f t="shared" si="3"/>
        <v>#N/A</v>
      </c>
      <c r="Q56" s="238"/>
      <c r="R56" s="261" t="e">
        <f>VLOOKUP($A56,[1]Planilha!$A$18:$BK$553,51,FALSE)</f>
        <v>#N/A</v>
      </c>
      <c r="S56" s="261" t="e">
        <f t="shared" si="4"/>
        <v>#N/A</v>
      </c>
      <c r="T56" s="236"/>
      <c r="U56" s="261" t="e">
        <f>VLOOKUP($A56,[1]Planilha!$A$18:$BK$553,59,FALSE)</f>
        <v>#N/A</v>
      </c>
      <c r="V56" s="261" t="e">
        <f t="shared" si="5"/>
        <v>#N/A</v>
      </c>
      <c r="W56" s="238"/>
      <c r="X56" s="261" t="e">
        <f>VLOOKUP($A56,[1]Planilha!$A$18:$BK$553,50,FALSE)</f>
        <v>#N/A</v>
      </c>
      <c r="Y56" s="261" t="e">
        <f t="shared" si="6"/>
        <v>#N/A</v>
      </c>
      <c r="Z56" s="236"/>
      <c r="AA56" s="261" t="e">
        <f>VLOOKUP($A56,[1]Planilha!$A$18:$BK$553,58,FALSE)</f>
        <v>#N/A</v>
      </c>
      <c r="AB56" s="261" t="e">
        <f t="shared" si="7"/>
        <v>#N/A</v>
      </c>
      <c r="AC56" s="238"/>
      <c r="AD56" s="261" t="e">
        <f>VLOOKUP($A56,[1]Planilha!$A$18:$BK$553,49,FALSE)</f>
        <v>#N/A</v>
      </c>
      <c r="AE56" s="261" t="e">
        <f t="shared" si="8"/>
        <v>#N/A</v>
      </c>
      <c r="AF56" s="239"/>
      <c r="AG56" s="261" t="e">
        <f>VLOOKUP($A56,[1]Planilha!$A$18:$BK$553,57,FALSE)</f>
        <v>#N/A</v>
      </c>
      <c r="AH56" s="261" t="e">
        <f t="shared" si="9"/>
        <v>#N/A</v>
      </c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</row>
    <row r="57" spans="1:46" s="481" customFormat="1" ht="18.75" customHeight="1" thickBot="1">
      <c r="A57" s="680" t="s">
        <v>295</v>
      </c>
      <c r="B57" s="451" t="s">
        <v>281</v>
      </c>
      <c r="C57" s="457"/>
      <c r="D57" s="458"/>
      <c r="E57" s="454" t="s">
        <v>741</v>
      </c>
      <c r="F57" s="261" t="e">
        <f>VLOOKUP($A57,[1]Planilha!$A$18:$BK$553,54,FALSE)</f>
        <v>#N/A</v>
      </c>
      <c r="G57" s="261" t="e">
        <f t="shared" si="0"/>
        <v>#VALUE!</v>
      </c>
      <c r="H57" s="455"/>
      <c r="I57" s="261" t="e">
        <f>VLOOKUP($A57,[1]Planilha!$A$18:$BK$553,62,FALSE)</f>
        <v>#N/A</v>
      </c>
      <c r="J57" s="261" t="e">
        <f t="shared" si="1"/>
        <v>#N/A</v>
      </c>
      <c r="K57" s="454" t="s">
        <v>292</v>
      </c>
      <c r="L57" s="261" t="e">
        <f>VLOOKUP($A57,[1]Planilha!$A$18:$BK$553,52,FALSE)</f>
        <v>#N/A</v>
      </c>
      <c r="M57" s="261" t="e">
        <f t="shared" si="2"/>
        <v>#VALUE!</v>
      </c>
      <c r="N57" s="455"/>
      <c r="O57" s="261" t="e">
        <f>VLOOKUP($A57,[1]Planilha!$A$18:$BK$553,60,FALSE)</f>
        <v>#N/A</v>
      </c>
      <c r="P57" s="261" t="e">
        <f t="shared" si="3"/>
        <v>#N/A</v>
      </c>
      <c r="Q57" s="456" t="s">
        <v>740</v>
      </c>
      <c r="R57" s="261" t="e">
        <f>VLOOKUP($A57,[1]Planilha!$A$18:$BK$553,51,FALSE)</f>
        <v>#N/A</v>
      </c>
      <c r="S57" s="261" t="e">
        <f t="shared" si="4"/>
        <v>#VALUE!</v>
      </c>
      <c r="T57" s="455"/>
      <c r="U57" s="261" t="e">
        <f>VLOOKUP($A57,[1]Planilha!$A$18:$BK$553,59,FALSE)</f>
        <v>#N/A</v>
      </c>
      <c r="V57" s="261" t="e">
        <f t="shared" si="5"/>
        <v>#N/A</v>
      </c>
      <c r="W57" s="456" t="s">
        <v>293</v>
      </c>
      <c r="X57" s="261" t="e">
        <f>VLOOKUP($A57,[1]Planilha!$A$18:$BK$553,50,FALSE)</f>
        <v>#N/A</v>
      </c>
      <c r="Y57" s="261" t="e">
        <f t="shared" si="6"/>
        <v>#VALUE!</v>
      </c>
      <c r="Z57" s="455"/>
      <c r="AA57" s="261" t="e">
        <f>VLOOKUP($A57,[1]Planilha!$A$18:$BK$553,58,FALSE)</f>
        <v>#N/A</v>
      </c>
      <c r="AB57" s="261" t="e">
        <f t="shared" si="7"/>
        <v>#N/A</v>
      </c>
      <c r="AC57" s="456" t="s">
        <v>322</v>
      </c>
      <c r="AD57" s="261" t="e">
        <f>VLOOKUP($A57,[1]Planilha!$A$18:$BK$553,49,FALSE)</f>
        <v>#N/A</v>
      </c>
      <c r="AE57" s="261" t="e">
        <f t="shared" si="8"/>
        <v>#VALUE!</v>
      </c>
      <c r="AF57" s="459"/>
      <c r="AG57" s="261" t="e">
        <f>VLOOKUP($A57,[1]Planilha!$A$18:$BK$553,57,FALSE)</f>
        <v>#N/A</v>
      </c>
      <c r="AH57" s="261" t="e">
        <f t="shared" si="9"/>
        <v>#N/A</v>
      </c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</row>
    <row r="58" spans="1:46" s="124" customFormat="1" ht="12.75" customHeight="1">
      <c r="A58" s="449" t="s">
        <v>296</v>
      </c>
      <c r="B58" s="115" t="s">
        <v>13</v>
      </c>
      <c r="C58" s="119" t="s">
        <v>83</v>
      </c>
      <c r="D58" s="101"/>
      <c r="E58" s="240" t="s">
        <v>81</v>
      </c>
      <c r="F58" s="261" t="e">
        <f>VLOOKUP($A58,[1]Planilha!$A$18:$BK$553,54,FALSE)</f>
        <v>#N/A</v>
      </c>
      <c r="G58" s="261" t="e">
        <f t="shared" si="0"/>
        <v>#VALUE!</v>
      </c>
      <c r="H58" s="241" t="s">
        <v>82</v>
      </c>
      <c r="I58" s="261" t="e">
        <f>VLOOKUP($A58,[1]Planilha!$A$18:$BK$553,62,FALSE)</f>
        <v>#N/A</v>
      </c>
      <c r="J58" s="261" t="e">
        <f t="shared" si="1"/>
        <v>#VALUE!</v>
      </c>
      <c r="K58" s="240" t="s">
        <v>81</v>
      </c>
      <c r="L58" s="261" t="e">
        <f>VLOOKUP($A58,[1]Planilha!$A$18:$BK$553,52,FALSE)</f>
        <v>#N/A</v>
      </c>
      <c r="M58" s="261" t="e">
        <f t="shared" si="2"/>
        <v>#VALUE!</v>
      </c>
      <c r="N58" s="241" t="s">
        <v>82</v>
      </c>
      <c r="O58" s="261" t="e">
        <f>VLOOKUP($A58,[1]Planilha!$A$18:$BK$553,60,FALSE)</f>
        <v>#N/A</v>
      </c>
      <c r="P58" s="261" t="e">
        <f t="shared" si="3"/>
        <v>#VALUE!</v>
      </c>
      <c r="Q58" s="240" t="s">
        <v>81</v>
      </c>
      <c r="R58" s="261" t="e">
        <f>VLOOKUP($A58,[1]Planilha!$A$18:$BK$553,51,FALSE)</f>
        <v>#N/A</v>
      </c>
      <c r="S58" s="261" t="e">
        <f t="shared" si="4"/>
        <v>#VALUE!</v>
      </c>
      <c r="T58" s="241" t="s">
        <v>82</v>
      </c>
      <c r="U58" s="261" t="e">
        <f>VLOOKUP($A58,[1]Planilha!$A$18:$BK$553,59,FALSE)</f>
        <v>#N/A</v>
      </c>
      <c r="V58" s="261" t="e">
        <f t="shared" si="5"/>
        <v>#VALUE!</v>
      </c>
      <c r="W58" s="240" t="s">
        <v>81</v>
      </c>
      <c r="X58" s="261" t="e">
        <f>VLOOKUP($A58,[1]Planilha!$A$18:$BK$553,50,FALSE)</f>
        <v>#N/A</v>
      </c>
      <c r="Y58" s="261" t="e">
        <f t="shared" si="6"/>
        <v>#VALUE!</v>
      </c>
      <c r="Z58" s="241" t="s">
        <v>82</v>
      </c>
      <c r="AA58" s="261" t="e">
        <f>VLOOKUP($A58,[1]Planilha!$A$18:$BK$553,58,FALSE)</f>
        <v>#N/A</v>
      </c>
      <c r="AB58" s="261" t="e">
        <f t="shared" si="7"/>
        <v>#VALUE!</v>
      </c>
      <c r="AC58" s="242" t="s">
        <v>81</v>
      </c>
      <c r="AD58" s="261" t="e">
        <f>VLOOKUP($A58,[1]Planilha!$A$18:$BK$553,49,FALSE)</f>
        <v>#N/A</v>
      </c>
      <c r="AE58" s="261" t="e">
        <f t="shared" si="8"/>
        <v>#VALUE!</v>
      </c>
      <c r="AF58" s="243" t="s">
        <v>82</v>
      </c>
      <c r="AG58" s="261" t="e">
        <f>VLOOKUP($A58,[1]Planilha!$A$18:$BK$553,57,FALSE)</f>
        <v>#N/A</v>
      </c>
      <c r="AH58" s="261" t="e">
        <f t="shared" si="9"/>
        <v>#VALUE!</v>
      </c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</row>
    <row r="59" spans="1:46" s="124" customFormat="1" ht="13.5" customHeight="1" thickBot="1">
      <c r="A59" s="450"/>
      <c r="B59" s="155" t="s">
        <v>14</v>
      </c>
      <c r="C59" s="156" t="s">
        <v>379</v>
      </c>
      <c r="D59" s="157" t="s">
        <v>84</v>
      </c>
      <c r="E59" s="244" t="s">
        <v>85</v>
      </c>
      <c r="F59" s="261" t="e">
        <f>VLOOKUP($A59,[1]Planilha!$A$18:$BK$553,54,FALSE)</f>
        <v>#N/A</v>
      </c>
      <c r="G59" s="261" t="e">
        <f t="shared" si="0"/>
        <v>#VALUE!</v>
      </c>
      <c r="H59" s="245" t="s">
        <v>297</v>
      </c>
      <c r="I59" s="261" t="e">
        <f>VLOOKUP($A59,[1]Planilha!$A$18:$BK$553,62,FALSE)</f>
        <v>#N/A</v>
      </c>
      <c r="J59" s="261" t="e">
        <f t="shared" si="1"/>
        <v>#VALUE!</v>
      </c>
      <c r="K59" s="244" t="s">
        <v>85</v>
      </c>
      <c r="L59" s="261" t="e">
        <f>VLOOKUP($A59,[1]Planilha!$A$18:$BK$553,52,FALSE)</f>
        <v>#N/A</v>
      </c>
      <c r="M59" s="261" t="e">
        <f t="shared" si="2"/>
        <v>#VALUE!</v>
      </c>
      <c r="N59" s="245" t="s">
        <v>297</v>
      </c>
      <c r="O59" s="261" t="e">
        <f>VLOOKUP($A59,[1]Planilha!$A$18:$BK$553,60,FALSE)</f>
        <v>#N/A</v>
      </c>
      <c r="P59" s="261" t="e">
        <f t="shared" si="3"/>
        <v>#VALUE!</v>
      </c>
      <c r="Q59" s="244" t="s">
        <v>85</v>
      </c>
      <c r="R59" s="261" t="e">
        <f>VLOOKUP($A59,[1]Planilha!$A$18:$BK$553,51,FALSE)</f>
        <v>#N/A</v>
      </c>
      <c r="S59" s="261" t="e">
        <f t="shared" si="4"/>
        <v>#VALUE!</v>
      </c>
      <c r="T59" s="245" t="s">
        <v>297</v>
      </c>
      <c r="U59" s="261" t="e">
        <f>VLOOKUP($A59,[1]Planilha!$A$18:$BK$553,59,FALSE)</f>
        <v>#N/A</v>
      </c>
      <c r="V59" s="261" t="e">
        <f t="shared" si="5"/>
        <v>#VALUE!</v>
      </c>
      <c r="W59" s="244" t="s">
        <v>85</v>
      </c>
      <c r="X59" s="261" t="e">
        <f>VLOOKUP($A59,[1]Planilha!$A$18:$BK$553,50,FALSE)</f>
        <v>#N/A</v>
      </c>
      <c r="Y59" s="261" t="e">
        <f t="shared" si="6"/>
        <v>#VALUE!</v>
      </c>
      <c r="Z59" s="245" t="s">
        <v>297</v>
      </c>
      <c r="AA59" s="261" t="e">
        <f>VLOOKUP($A59,[1]Planilha!$A$18:$BK$553,58,FALSE)</f>
        <v>#N/A</v>
      </c>
      <c r="AB59" s="261" t="e">
        <f t="shared" si="7"/>
        <v>#VALUE!</v>
      </c>
      <c r="AC59" s="246" t="s">
        <v>85</v>
      </c>
      <c r="AD59" s="261" t="e">
        <f>VLOOKUP($A59,[1]Planilha!$A$18:$BK$553,49,FALSE)</f>
        <v>#N/A</v>
      </c>
      <c r="AE59" s="261" t="e">
        <f t="shared" si="8"/>
        <v>#VALUE!</v>
      </c>
      <c r="AF59" s="247" t="s">
        <v>297</v>
      </c>
      <c r="AG59" s="261" t="e">
        <f>VLOOKUP($A59,[1]Planilha!$A$18:$BK$553,57,FALSE)</f>
        <v>#N/A</v>
      </c>
      <c r="AH59" s="261" t="e">
        <f t="shared" si="9"/>
        <v>#VALUE!</v>
      </c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</row>
    <row r="60" spans="1:46" s="124" customFormat="1" ht="15">
      <c r="A60" s="414"/>
      <c r="B60" s="105" t="s">
        <v>654</v>
      </c>
      <c r="C60" s="105"/>
      <c r="D60" s="106"/>
      <c r="E60" s="186"/>
      <c r="F60" s="261" t="e">
        <f>VLOOKUP($A60,[1]Planilha!$A$18:$BK$553,54,FALSE)</f>
        <v>#N/A</v>
      </c>
      <c r="G60" s="261" t="e">
        <f t="shared" si="0"/>
        <v>#N/A</v>
      </c>
      <c r="H60" s="187"/>
      <c r="I60" s="261" t="e">
        <f>VLOOKUP($A60,[1]Planilha!$A$18:$BK$553,62,FALSE)</f>
        <v>#N/A</v>
      </c>
      <c r="J60" s="261" t="e">
        <f t="shared" si="1"/>
        <v>#N/A</v>
      </c>
      <c r="K60" s="186"/>
      <c r="L60" s="261" t="e">
        <f>VLOOKUP($A60,[1]Planilha!$A$18:$BK$553,52,FALSE)</f>
        <v>#N/A</v>
      </c>
      <c r="M60" s="261" t="e">
        <f t="shared" si="2"/>
        <v>#N/A</v>
      </c>
      <c r="N60" s="187"/>
      <c r="O60" s="261" t="e">
        <f>VLOOKUP($A60,[1]Planilha!$A$18:$BK$553,60,FALSE)</f>
        <v>#N/A</v>
      </c>
      <c r="P60" s="261" t="e">
        <f t="shared" si="3"/>
        <v>#N/A</v>
      </c>
      <c r="Q60" s="186"/>
      <c r="R60" s="261" t="e">
        <f>VLOOKUP($A60,[1]Planilha!$A$18:$BK$553,51,FALSE)</f>
        <v>#N/A</v>
      </c>
      <c r="S60" s="261" t="e">
        <f t="shared" si="4"/>
        <v>#N/A</v>
      </c>
      <c r="T60" s="187"/>
      <c r="U60" s="261" t="e">
        <f>VLOOKUP($A60,[1]Planilha!$A$18:$BK$553,59,FALSE)</f>
        <v>#N/A</v>
      </c>
      <c r="V60" s="261" t="e">
        <f t="shared" si="5"/>
        <v>#N/A</v>
      </c>
      <c r="W60" s="186"/>
      <c r="X60" s="261" t="e">
        <f>VLOOKUP($A60,[1]Planilha!$A$18:$BK$553,50,FALSE)</f>
        <v>#N/A</v>
      </c>
      <c r="Y60" s="261" t="e">
        <f t="shared" si="6"/>
        <v>#N/A</v>
      </c>
      <c r="Z60" s="187"/>
      <c r="AA60" s="261" t="e">
        <f>VLOOKUP($A60,[1]Planilha!$A$18:$BK$553,58,FALSE)</f>
        <v>#N/A</v>
      </c>
      <c r="AB60" s="261" t="e">
        <f t="shared" si="7"/>
        <v>#N/A</v>
      </c>
      <c r="AC60" s="186"/>
      <c r="AD60" s="261" t="e">
        <f>VLOOKUP($A60,[1]Planilha!$A$18:$BK$553,49,FALSE)</f>
        <v>#N/A</v>
      </c>
      <c r="AE60" s="261" t="e">
        <f t="shared" si="8"/>
        <v>#N/A</v>
      </c>
      <c r="AF60" s="190"/>
      <c r="AG60" s="261" t="e">
        <f>VLOOKUP($A60,[1]Planilha!$A$18:$BK$553,57,FALSE)</f>
        <v>#N/A</v>
      </c>
      <c r="AH60" s="261" t="e">
        <f t="shared" si="9"/>
        <v>#N/A</v>
      </c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  <c r="AT60" s="376"/>
    </row>
    <row r="61" spans="1:46" s="124" customFormat="1">
      <c r="A61" s="233">
        <v>7891721026706</v>
      </c>
      <c r="B61" s="126">
        <v>1008903720011</v>
      </c>
      <c r="C61" s="117" t="s">
        <v>657</v>
      </c>
      <c r="D61" s="218" t="s">
        <v>655</v>
      </c>
      <c r="E61" s="263">
        <f t="shared" ref="E61:E62" si="44">ROUND(K61*1.025,2)</f>
        <v>73.25</v>
      </c>
      <c r="F61" s="261">
        <f>VLOOKUP($A61,[1]Planilha!$A$18:$BK$553,54,FALSE)</f>
        <v>72.34</v>
      </c>
      <c r="G61" s="261">
        <f t="shared" si="0"/>
        <v>0.90999999999999659</v>
      </c>
      <c r="H61" s="263">
        <f t="shared" ref="H61:H62" si="45">ROUND(E61/0.723358,2)</f>
        <v>101.26</v>
      </c>
      <c r="I61" s="261">
        <f>VLOOKUP($A61,[1]Planilha!$A$18:$BK$553,62,FALSE)</f>
        <v>101.25</v>
      </c>
      <c r="J61" s="261">
        <f t="shared" si="1"/>
        <v>1.0000000000005116E-2</v>
      </c>
      <c r="K61" s="263">
        <f>VLOOKUP(A61,[2]Plan1!$H$2:$J$279,3,FALSE)</f>
        <v>71.458800000000011</v>
      </c>
      <c r="L61" s="261">
        <f>VLOOKUP($A61,[1]Planilha!$A$18:$BK$553,52,FALSE)</f>
        <v>71.459999999999994</v>
      </c>
      <c r="M61" s="261">
        <f t="shared" si="2"/>
        <v>-1.1999999999829924E-3</v>
      </c>
      <c r="N61" s="263">
        <f t="shared" ref="N61" si="46">ROUND(K61/0.723358,2)</f>
        <v>98.79</v>
      </c>
      <c r="O61" s="261">
        <f>VLOOKUP($A61,[1]Planilha!$A$18:$BK$553,60,FALSE)</f>
        <v>98.79</v>
      </c>
      <c r="P61" s="261">
        <f t="shared" si="3"/>
        <v>0</v>
      </c>
      <c r="Q61" s="485">
        <v>71.02</v>
      </c>
      <c r="R61" s="261">
        <f>VLOOKUP($A61,[1]Planilha!$A$18:$BK$553,51,FALSE)</f>
        <v>71.02</v>
      </c>
      <c r="S61" s="261">
        <f t="shared" si="4"/>
        <v>0</v>
      </c>
      <c r="T61" s="263">
        <f t="shared" ref="T61:T62" si="47">ROUND(Q61/0.723358,2)</f>
        <v>98.18</v>
      </c>
      <c r="U61" s="261">
        <f>VLOOKUP($A61,[1]Planilha!$A$18:$BK$553,59,FALSE)</f>
        <v>98.18</v>
      </c>
      <c r="V61" s="261">
        <f t="shared" si="5"/>
        <v>0</v>
      </c>
      <c r="W61" s="263">
        <f t="shared" si="17"/>
        <v>70.599999999999994</v>
      </c>
      <c r="X61" s="261">
        <f>VLOOKUP($A61,[1]Planilha!$A$18:$BK$553,50,FALSE)</f>
        <v>70.599999999999994</v>
      </c>
      <c r="Y61" s="261">
        <f t="shared" si="6"/>
        <v>0</v>
      </c>
      <c r="Z61" s="263">
        <f t="shared" si="12"/>
        <v>97.6</v>
      </c>
      <c r="AA61" s="261">
        <f>VLOOKUP($A61,[1]Planilha!$A$18:$BK$553,58,FALSE)</f>
        <v>97.6</v>
      </c>
      <c r="AB61" s="261">
        <f t="shared" si="7"/>
        <v>0</v>
      </c>
      <c r="AC61" s="263">
        <f t="shared" si="30"/>
        <v>66.59</v>
      </c>
      <c r="AD61" s="261">
        <f>VLOOKUP($A61,[1]Planilha!$A$18:$BK$553,49,FALSE)</f>
        <v>66.59</v>
      </c>
      <c r="AE61" s="261">
        <f t="shared" si="8"/>
        <v>0</v>
      </c>
      <c r="AF61" s="264">
        <f t="shared" si="31"/>
        <v>92.06</v>
      </c>
      <c r="AG61" s="261">
        <f>VLOOKUP($A61,[1]Planilha!$A$18:$BK$553,57,FALSE)</f>
        <v>92.06</v>
      </c>
      <c r="AH61" s="261">
        <f t="shared" si="9"/>
        <v>0</v>
      </c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</row>
    <row r="62" spans="1:46" s="124" customFormat="1">
      <c r="A62" s="233">
        <v>7891721026676</v>
      </c>
      <c r="B62" s="126">
        <v>1008903720028</v>
      </c>
      <c r="C62" s="122" t="s">
        <v>658</v>
      </c>
      <c r="D62" s="218" t="s">
        <v>656</v>
      </c>
      <c r="E62" s="271">
        <f t="shared" si="44"/>
        <v>74.23</v>
      </c>
      <c r="F62" s="261">
        <f>VLOOKUP($A62,[1]Planilha!$A$18:$BK$553,54,FALSE)</f>
        <v>73.319999999999993</v>
      </c>
      <c r="G62" s="261">
        <f t="shared" si="0"/>
        <v>0.9100000000000108</v>
      </c>
      <c r="H62" s="271">
        <f t="shared" si="45"/>
        <v>102.62</v>
      </c>
      <c r="I62" s="261">
        <f>VLOOKUP($A62,[1]Planilha!$A$18:$BK$553,62,FALSE)</f>
        <v>102.62</v>
      </c>
      <c r="J62" s="261">
        <f t="shared" si="1"/>
        <v>0</v>
      </c>
      <c r="K62" s="263">
        <f>VLOOKUP(A62,[2]Plan1!$H$2:$J$279,3,FALSE)</f>
        <v>72.421720000000008</v>
      </c>
      <c r="L62" s="261">
        <f>VLOOKUP($A62,[1]Planilha!$A$18:$BK$553,52,FALSE)</f>
        <v>72.42</v>
      </c>
      <c r="M62" s="261">
        <f t="shared" si="2"/>
        <v>1.720000000005939E-3</v>
      </c>
      <c r="N62" s="271">
        <f>ROUND(K62/0.723358,2)</f>
        <v>100.12</v>
      </c>
      <c r="O62" s="261">
        <f>VLOOKUP($A62,[1]Planilha!$A$18:$BK$553,60,FALSE)</f>
        <v>100.12</v>
      </c>
      <c r="P62" s="261">
        <f t="shared" si="3"/>
        <v>0</v>
      </c>
      <c r="Q62" s="271">
        <f t="shared" ref="Q62" si="48">ROUND(K62*0.993939,2)</f>
        <v>71.98</v>
      </c>
      <c r="R62" s="261">
        <f>VLOOKUP($A62,[1]Planilha!$A$18:$BK$553,51,FALSE)</f>
        <v>71.98</v>
      </c>
      <c r="S62" s="261">
        <f t="shared" si="4"/>
        <v>0</v>
      </c>
      <c r="T62" s="271">
        <f t="shared" si="47"/>
        <v>99.51</v>
      </c>
      <c r="U62" s="261">
        <f>VLOOKUP($A62,[1]Planilha!$A$18:$BK$553,59,FALSE)</f>
        <v>99.51</v>
      </c>
      <c r="V62" s="261">
        <f t="shared" si="5"/>
        <v>0</v>
      </c>
      <c r="W62" s="271">
        <f t="shared" si="17"/>
        <v>71.55</v>
      </c>
      <c r="X62" s="261">
        <f>VLOOKUP($A62,[1]Planilha!$A$18:$BK$553,50,FALSE)</f>
        <v>71.55</v>
      </c>
      <c r="Y62" s="261">
        <f t="shared" si="6"/>
        <v>0</v>
      </c>
      <c r="Z62" s="271">
        <f t="shared" si="12"/>
        <v>98.91</v>
      </c>
      <c r="AA62" s="261">
        <f>VLOOKUP($A62,[1]Planilha!$A$18:$BK$553,58,FALSE)</f>
        <v>98.91</v>
      </c>
      <c r="AB62" s="261">
        <f t="shared" si="7"/>
        <v>0</v>
      </c>
      <c r="AC62" s="271">
        <f t="shared" si="30"/>
        <v>67.48</v>
      </c>
      <c r="AD62" s="261">
        <f>VLOOKUP($A62,[1]Planilha!$A$18:$BK$553,49,FALSE)</f>
        <v>67.48</v>
      </c>
      <c r="AE62" s="261">
        <f t="shared" si="8"/>
        <v>0</v>
      </c>
      <c r="AF62" s="272">
        <f t="shared" si="31"/>
        <v>93.29</v>
      </c>
      <c r="AG62" s="261">
        <f>VLOOKUP($A62,[1]Planilha!$A$18:$BK$553,57,FALSE)</f>
        <v>93.29</v>
      </c>
      <c r="AH62" s="261">
        <f t="shared" si="9"/>
        <v>0</v>
      </c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</row>
    <row r="63" spans="1:46" s="124" customFormat="1" ht="15">
      <c r="A63" s="414"/>
      <c r="B63" s="415" t="s">
        <v>713</v>
      </c>
      <c r="C63" s="415"/>
      <c r="D63" s="416"/>
      <c r="E63" s="429"/>
      <c r="F63" s="261" t="e">
        <f>VLOOKUP($A63,[1]Planilha!$A$18:$BK$553,54,FALSE)</f>
        <v>#N/A</v>
      </c>
      <c r="G63" s="261" t="e">
        <f t="shared" si="0"/>
        <v>#N/A</v>
      </c>
      <c r="H63" s="430"/>
      <c r="I63" s="261" t="e">
        <f>VLOOKUP($A63,[1]Planilha!$A$18:$BK$553,62,FALSE)</f>
        <v>#N/A</v>
      </c>
      <c r="J63" s="261" t="e">
        <f t="shared" si="1"/>
        <v>#N/A</v>
      </c>
      <c r="K63" s="429"/>
      <c r="L63" s="261" t="e">
        <f>VLOOKUP($A63,[1]Planilha!$A$18:$BK$553,52,FALSE)</f>
        <v>#N/A</v>
      </c>
      <c r="M63" s="261" t="e">
        <f t="shared" si="2"/>
        <v>#N/A</v>
      </c>
      <c r="N63" s="430"/>
      <c r="O63" s="261" t="e">
        <f>VLOOKUP($A63,[1]Planilha!$A$18:$BK$553,60,FALSE)</f>
        <v>#N/A</v>
      </c>
      <c r="P63" s="261" t="e">
        <f t="shared" si="3"/>
        <v>#N/A</v>
      </c>
      <c r="Q63" s="429"/>
      <c r="R63" s="261" t="e">
        <f>VLOOKUP($A63,[1]Planilha!$A$18:$BK$553,51,FALSE)</f>
        <v>#N/A</v>
      </c>
      <c r="S63" s="261" t="e">
        <f t="shared" si="4"/>
        <v>#N/A</v>
      </c>
      <c r="T63" s="430"/>
      <c r="U63" s="261" t="e">
        <f>VLOOKUP($A63,[1]Planilha!$A$18:$BK$553,59,FALSE)</f>
        <v>#N/A</v>
      </c>
      <c r="V63" s="261" t="e">
        <f t="shared" si="5"/>
        <v>#N/A</v>
      </c>
      <c r="W63" s="429"/>
      <c r="X63" s="261" t="e">
        <f>VLOOKUP($A63,[1]Planilha!$A$18:$BK$553,50,FALSE)</f>
        <v>#N/A</v>
      </c>
      <c r="Y63" s="261" t="e">
        <f t="shared" si="6"/>
        <v>#N/A</v>
      </c>
      <c r="Z63" s="430"/>
      <c r="AA63" s="261" t="e">
        <f>VLOOKUP($A63,[1]Planilha!$A$18:$BK$553,58,FALSE)</f>
        <v>#N/A</v>
      </c>
      <c r="AB63" s="261" t="e">
        <f t="shared" si="7"/>
        <v>#N/A</v>
      </c>
      <c r="AC63" s="429"/>
      <c r="AD63" s="261" t="e">
        <f>VLOOKUP($A63,[1]Planilha!$A$18:$BK$553,49,FALSE)</f>
        <v>#N/A</v>
      </c>
      <c r="AE63" s="261" t="e">
        <f t="shared" si="8"/>
        <v>#N/A</v>
      </c>
      <c r="AF63" s="431"/>
      <c r="AG63" s="261" t="e">
        <f>VLOOKUP($A63,[1]Planilha!$A$18:$BK$553,57,FALSE)</f>
        <v>#N/A</v>
      </c>
      <c r="AH63" s="261" t="e">
        <f t="shared" si="9"/>
        <v>#N/A</v>
      </c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</row>
    <row r="64" spans="1:46" s="124" customFormat="1">
      <c r="A64" s="233">
        <v>7894916133005</v>
      </c>
      <c r="B64" s="126">
        <v>1356906160014</v>
      </c>
      <c r="C64" s="123">
        <v>3175310006</v>
      </c>
      <c r="D64" s="217" t="s">
        <v>745</v>
      </c>
      <c r="E64" s="273">
        <f>K64</f>
        <v>70.974900000000005</v>
      </c>
      <c r="F64" s="496" t="e">
        <f>VLOOKUP($A64,[1]Planilha!$A$18:$BK$553,54,FALSE)</f>
        <v>#N/A</v>
      </c>
      <c r="G64" s="496" t="e">
        <f t="shared" si="0"/>
        <v>#N/A</v>
      </c>
      <c r="H64" s="273">
        <f>N64</f>
        <v>98.12</v>
      </c>
      <c r="I64" s="496" t="e">
        <f>VLOOKUP($A64,[1]Planilha!$A$18:$BK$553,62,FALSE)</f>
        <v>#N/A</v>
      </c>
      <c r="J64" s="496" t="e">
        <f t="shared" si="1"/>
        <v>#N/A</v>
      </c>
      <c r="K64" s="273">
        <v>70.974900000000005</v>
      </c>
      <c r="L64" s="496" t="e">
        <f>VLOOKUP($A64,[1]Planilha!$A$18:$BK$553,52,FALSE)</f>
        <v>#N/A</v>
      </c>
      <c r="M64" s="496" t="e">
        <f t="shared" si="2"/>
        <v>#N/A</v>
      </c>
      <c r="N64" s="273">
        <f t="shared" ref="N64:N65" si="49">ROUND(K64/0.723358,2)</f>
        <v>98.12</v>
      </c>
      <c r="O64" s="496" t="e">
        <f>VLOOKUP($A64,[1]Planilha!$A$18:$BK$553,60,FALSE)</f>
        <v>#N/A</v>
      </c>
      <c r="P64" s="496" t="e">
        <f t="shared" si="3"/>
        <v>#N/A</v>
      </c>
      <c r="Q64" s="273">
        <f t="shared" ref="Q64:Q65" si="50">ROUND(K64*0.993939,2)</f>
        <v>70.540000000000006</v>
      </c>
      <c r="R64" s="496" t="e">
        <f>VLOOKUP($A64,[1]Planilha!$A$18:$BK$553,51,FALSE)</f>
        <v>#N/A</v>
      </c>
      <c r="S64" s="496" t="e">
        <f t="shared" si="4"/>
        <v>#N/A</v>
      </c>
      <c r="T64" s="273">
        <f t="shared" ref="T64:T65" si="51">ROUND(Q64/0.723358,2)</f>
        <v>97.52</v>
      </c>
      <c r="U64" s="496" t="e">
        <f>VLOOKUP($A64,[1]Planilha!$A$18:$BK$553,59,FALSE)</f>
        <v>#N/A</v>
      </c>
      <c r="V64" s="496" t="e">
        <f t="shared" si="5"/>
        <v>#N/A</v>
      </c>
      <c r="W64" s="273">
        <f t="shared" si="17"/>
        <v>70.12</v>
      </c>
      <c r="X64" s="496" t="e">
        <f>VLOOKUP($A64,[1]Planilha!$A$18:$BK$553,50,FALSE)</f>
        <v>#N/A</v>
      </c>
      <c r="Y64" s="496" t="e">
        <f t="shared" si="6"/>
        <v>#N/A</v>
      </c>
      <c r="Z64" s="273">
        <f t="shared" si="12"/>
        <v>96.94</v>
      </c>
      <c r="AA64" s="496" t="e">
        <f>VLOOKUP($A64,[1]Planilha!$A$18:$BK$553,58,FALSE)</f>
        <v>#N/A</v>
      </c>
      <c r="AB64" s="496" t="e">
        <f t="shared" si="7"/>
        <v>#N/A</v>
      </c>
      <c r="AC64" s="273">
        <f t="shared" si="30"/>
        <v>66.14</v>
      </c>
      <c r="AD64" s="496" t="e">
        <f>VLOOKUP($A64,[1]Planilha!$A$18:$BK$553,49,FALSE)</f>
        <v>#N/A</v>
      </c>
      <c r="AE64" s="496" t="e">
        <f t="shared" si="8"/>
        <v>#N/A</v>
      </c>
      <c r="AF64" s="274">
        <f t="shared" si="31"/>
        <v>91.43</v>
      </c>
      <c r="AG64" s="496" t="e">
        <f>VLOOKUP($A64,[1]Planilha!$A$18:$BK$553,57,FALSE)</f>
        <v>#N/A</v>
      </c>
      <c r="AH64" s="496" t="e">
        <f t="shared" si="9"/>
        <v>#N/A</v>
      </c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</row>
    <row r="65" spans="1:46" s="124" customFormat="1">
      <c r="A65" s="233">
        <v>7894916133043</v>
      </c>
      <c r="B65" s="126">
        <v>1356906160022</v>
      </c>
      <c r="C65" s="128">
        <v>3175310007</v>
      </c>
      <c r="D65" s="217" t="s">
        <v>746</v>
      </c>
      <c r="E65" s="432">
        <f>K65</f>
        <v>141.94980000000001</v>
      </c>
      <c r="F65" s="496" t="e">
        <f>VLOOKUP($A65,[1]Planilha!$A$18:$BK$553,54,FALSE)</f>
        <v>#N/A</v>
      </c>
      <c r="G65" s="496" t="e">
        <f t="shared" si="0"/>
        <v>#N/A</v>
      </c>
      <c r="H65" s="432">
        <f>N65</f>
        <v>196.24</v>
      </c>
      <c r="I65" s="496" t="e">
        <f>VLOOKUP($A65,[1]Planilha!$A$18:$BK$553,62,FALSE)</f>
        <v>#N/A</v>
      </c>
      <c r="J65" s="496" t="e">
        <f t="shared" si="1"/>
        <v>#N/A</v>
      </c>
      <c r="K65" s="273">
        <v>141.94980000000001</v>
      </c>
      <c r="L65" s="496" t="e">
        <f>VLOOKUP($A65,[1]Planilha!$A$18:$BK$553,52,FALSE)</f>
        <v>#N/A</v>
      </c>
      <c r="M65" s="496" t="e">
        <f t="shared" si="2"/>
        <v>#N/A</v>
      </c>
      <c r="N65" s="432">
        <f t="shared" si="49"/>
        <v>196.24</v>
      </c>
      <c r="O65" s="496" t="e">
        <f>VLOOKUP($A65,[1]Planilha!$A$18:$BK$553,60,FALSE)</f>
        <v>#N/A</v>
      </c>
      <c r="P65" s="496" t="e">
        <f t="shared" si="3"/>
        <v>#N/A</v>
      </c>
      <c r="Q65" s="432">
        <f t="shared" si="50"/>
        <v>141.09</v>
      </c>
      <c r="R65" s="496" t="e">
        <f>VLOOKUP($A65,[1]Planilha!$A$18:$BK$553,51,FALSE)</f>
        <v>#N/A</v>
      </c>
      <c r="S65" s="496" t="e">
        <f t="shared" si="4"/>
        <v>#N/A</v>
      </c>
      <c r="T65" s="432">
        <f t="shared" si="51"/>
        <v>195.05</v>
      </c>
      <c r="U65" s="496" t="e">
        <f>VLOOKUP($A65,[1]Planilha!$A$18:$BK$553,59,FALSE)</f>
        <v>#N/A</v>
      </c>
      <c r="V65" s="496" t="e">
        <f t="shared" si="5"/>
        <v>#N/A</v>
      </c>
      <c r="W65" s="432">
        <f t="shared" si="17"/>
        <v>140.24</v>
      </c>
      <c r="X65" s="496" t="e">
        <f>VLOOKUP($A65,[1]Planilha!$A$18:$BK$553,50,FALSE)</f>
        <v>#N/A</v>
      </c>
      <c r="Y65" s="496" t="e">
        <f t="shared" si="6"/>
        <v>#N/A</v>
      </c>
      <c r="Z65" s="432">
        <f t="shared" si="12"/>
        <v>193.87</v>
      </c>
      <c r="AA65" s="496" t="e">
        <f>VLOOKUP($A65,[1]Planilha!$A$18:$BK$553,58,FALSE)</f>
        <v>#N/A</v>
      </c>
      <c r="AB65" s="496" t="e">
        <f t="shared" si="7"/>
        <v>#N/A</v>
      </c>
      <c r="AC65" s="432">
        <f t="shared" si="30"/>
        <v>132.27000000000001</v>
      </c>
      <c r="AD65" s="496" t="e">
        <f>VLOOKUP($A65,[1]Planilha!$A$18:$BK$553,49,FALSE)</f>
        <v>#N/A</v>
      </c>
      <c r="AE65" s="496" t="e">
        <f t="shared" si="8"/>
        <v>#N/A</v>
      </c>
      <c r="AF65" s="433">
        <f t="shared" si="31"/>
        <v>182.86</v>
      </c>
      <c r="AG65" s="496" t="e">
        <f>VLOOKUP($A65,[1]Planilha!$A$18:$BK$553,57,FALSE)</f>
        <v>#N/A</v>
      </c>
      <c r="AH65" s="496" t="e">
        <f t="shared" si="9"/>
        <v>#N/A</v>
      </c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</row>
    <row r="66" spans="1:46" s="124" customFormat="1" ht="15">
      <c r="A66" s="414"/>
      <c r="B66" s="105" t="s">
        <v>307</v>
      </c>
      <c r="C66" s="105"/>
      <c r="D66" s="106"/>
      <c r="E66" s="186"/>
      <c r="F66" s="261" t="e">
        <f>VLOOKUP($A66,[1]Planilha!$A$18:$BK$553,54,FALSE)</f>
        <v>#N/A</v>
      </c>
      <c r="G66" s="261" t="e">
        <f t="shared" si="0"/>
        <v>#N/A</v>
      </c>
      <c r="H66" s="187"/>
      <c r="I66" s="261" t="e">
        <f>VLOOKUP($A66,[1]Planilha!$A$18:$BK$553,62,FALSE)</f>
        <v>#N/A</v>
      </c>
      <c r="J66" s="261" t="e">
        <f t="shared" si="1"/>
        <v>#N/A</v>
      </c>
      <c r="K66" s="186"/>
      <c r="L66" s="261" t="e">
        <f>VLOOKUP($A66,[1]Planilha!$A$18:$BK$553,52,FALSE)</f>
        <v>#N/A</v>
      </c>
      <c r="M66" s="261" t="e">
        <f t="shared" si="2"/>
        <v>#N/A</v>
      </c>
      <c r="N66" s="187"/>
      <c r="O66" s="261" t="e">
        <f>VLOOKUP($A66,[1]Planilha!$A$18:$BK$553,60,FALSE)</f>
        <v>#N/A</v>
      </c>
      <c r="P66" s="261" t="e">
        <f t="shared" si="3"/>
        <v>#N/A</v>
      </c>
      <c r="Q66" s="186"/>
      <c r="R66" s="261" t="e">
        <f>VLOOKUP($A66,[1]Planilha!$A$18:$BK$553,51,FALSE)</f>
        <v>#N/A</v>
      </c>
      <c r="S66" s="261" t="e">
        <f t="shared" si="4"/>
        <v>#N/A</v>
      </c>
      <c r="T66" s="187"/>
      <c r="U66" s="261" t="e">
        <f>VLOOKUP($A66,[1]Planilha!$A$18:$BK$553,59,FALSE)</f>
        <v>#N/A</v>
      </c>
      <c r="V66" s="261" t="e">
        <f t="shared" si="5"/>
        <v>#N/A</v>
      </c>
      <c r="W66" s="186"/>
      <c r="X66" s="261" t="e">
        <f>VLOOKUP($A66,[1]Planilha!$A$18:$BK$553,50,FALSE)</f>
        <v>#N/A</v>
      </c>
      <c r="Y66" s="261" t="e">
        <f t="shared" si="6"/>
        <v>#N/A</v>
      </c>
      <c r="Z66" s="187"/>
      <c r="AA66" s="261" t="e">
        <f>VLOOKUP($A66,[1]Planilha!$A$18:$BK$553,58,FALSE)</f>
        <v>#N/A</v>
      </c>
      <c r="AB66" s="261" t="e">
        <f t="shared" si="7"/>
        <v>#N/A</v>
      </c>
      <c r="AC66" s="186"/>
      <c r="AD66" s="261" t="e">
        <f>VLOOKUP($A66,[1]Planilha!$A$18:$BK$553,49,FALSE)</f>
        <v>#N/A</v>
      </c>
      <c r="AE66" s="261" t="e">
        <f t="shared" si="8"/>
        <v>#N/A</v>
      </c>
      <c r="AF66" s="190"/>
      <c r="AG66" s="261" t="e">
        <f>VLOOKUP($A66,[1]Planilha!$A$18:$BK$553,57,FALSE)</f>
        <v>#N/A</v>
      </c>
      <c r="AH66" s="261" t="e">
        <f t="shared" si="9"/>
        <v>#N/A</v>
      </c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</row>
    <row r="67" spans="1:46" s="124" customFormat="1">
      <c r="A67" s="233">
        <v>7891721010026</v>
      </c>
      <c r="B67" s="126" t="s">
        <v>48</v>
      </c>
      <c r="C67" s="117" t="s">
        <v>436</v>
      </c>
      <c r="D67" s="218" t="s">
        <v>363</v>
      </c>
      <c r="E67" s="263">
        <f t="shared" ref="E67:E68" si="52">ROUND(K67*1.025,2)</f>
        <v>12.19</v>
      </c>
      <c r="F67" s="261">
        <f>VLOOKUP($A67,[1]Planilha!$A$18:$BK$553,54,FALSE)</f>
        <v>12.04</v>
      </c>
      <c r="G67" s="261">
        <f t="shared" si="0"/>
        <v>0.15000000000000036</v>
      </c>
      <c r="H67" s="263">
        <f t="shared" ref="H67:H68" si="53">ROUND(E67/0.723358,2)</f>
        <v>16.850000000000001</v>
      </c>
      <c r="I67" s="261">
        <f>VLOOKUP($A67,[1]Planilha!$A$18:$BK$553,62,FALSE)</f>
        <v>16.850000000000001</v>
      </c>
      <c r="J67" s="261">
        <f t="shared" si="1"/>
        <v>0</v>
      </c>
      <c r="K67" s="263">
        <f>VLOOKUP(A67,[2]Plan1!$H$2:$J$279,3,FALSE)</f>
        <v>11.893123999999998</v>
      </c>
      <c r="L67" s="261">
        <f>VLOOKUP($A67,[1]Planilha!$A$18:$BK$553,52,FALSE)</f>
        <v>11.89</v>
      </c>
      <c r="M67" s="261">
        <f t="shared" si="2"/>
        <v>3.1239999999979062E-3</v>
      </c>
      <c r="N67" s="263">
        <f t="shared" ref="N67:N68" si="54">ROUND(K67/0.723358,2)</f>
        <v>16.440000000000001</v>
      </c>
      <c r="O67" s="261">
        <f>VLOOKUP($A67,[1]Planilha!$A$18:$BK$553,60,FALSE)</f>
        <v>16.440000000000001</v>
      </c>
      <c r="P67" s="261">
        <f t="shared" si="3"/>
        <v>0</v>
      </c>
      <c r="Q67" s="263">
        <f t="shared" ref="Q67:Q68" si="55">ROUND(K67*0.993939,2)</f>
        <v>11.82</v>
      </c>
      <c r="R67" s="261">
        <f>VLOOKUP($A67,[1]Planilha!$A$18:$BK$553,51,FALSE)</f>
        <v>11.82</v>
      </c>
      <c r="S67" s="261">
        <f t="shared" si="4"/>
        <v>0</v>
      </c>
      <c r="T67" s="263">
        <f t="shared" ref="T67:T68" si="56">ROUND(Q67/0.723358,2)</f>
        <v>16.34</v>
      </c>
      <c r="U67" s="261">
        <f>VLOOKUP($A67,[1]Planilha!$A$18:$BK$553,59,FALSE)</f>
        <v>16.34</v>
      </c>
      <c r="V67" s="261">
        <f t="shared" si="5"/>
        <v>0</v>
      </c>
      <c r="W67" s="263">
        <f t="shared" ref="W67:W104" si="57">ROUND(K67*0.987952,2)</f>
        <v>11.75</v>
      </c>
      <c r="X67" s="261">
        <f>VLOOKUP($A67,[1]Planilha!$A$18:$BK$553,50,FALSE)</f>
        <v>11.75</v>
      </c>
      <c r="Y67" s="261">
        <f t="shared" si="6"/>
        <v>0</v>
      </c>
      <c r="Z67" s="263">
        <f t="shared" ref="Z67:Z104" si="58">ROUND(W67/0.723358,2)</f>
        <v>16.239999999999998</v>
      </c>
      <c r="AA67" s="261">
        <f>VLOOKUP($A67,[1]Planilha!$A$18:$BK$553,58,FALSE)</f>
        <v>16.239999999999998</v>
      </c>
      <c r="AB67" s="261">
        <f t="shared" si="7"/>
        <v>0</v>
      </c>
      <c r="AC67" s="263">
        <f t="shared" ref="AC67:AC104" si="59">ROUND(K67*0.931818,2)</f>
        <v>11.08</v>
      </c>
      <c r="AD67" s="261">
        <f>VLOOKUP($A67,[1]Planilha!$A$18:$BK$553,49,FALSE)</f>
        <v>11.08</v>
      </c>
      <c r="AE67" s="261">
        <f t="shared" si="8"/>
        <v>0</v>
      </c>
      <c r="AF67" s="264">
        <f t="shared" ref="AF67:AF104" si="60">ROUND(AC67/0.723358,2)</f>
        <v>15.32</v>
      </c>
      <c r="AG67" s="261">
        <f>VLOOKUP($A67,[1]Planilha!$A$18:$BK$553,57,FALSE)</f>
        <v>15.32</v>
      </c>
      <c r="AH67" s="261">
        <f t="shared" si="9"/>
        <v>0</v>
      </c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</row>
    <row r="68" spans="1:46" s="124" customFormat="1">
      <c r="A68" s="233">
        <v>7891721015366</v>
      </c>
      <c r="B68" s="126" t="s">
        <v>49</v>
      </c>
      <c r="C68" s="122" t="s">
        <v>435</v>
      </c>
      <c r="D68" s="218" t="s">
        <v>364</v>
      </c>
      <c r="E68" s="271">
        <f t="shared" si="52"/>
        <v>29.35</v>
      </c>
      <c r="F68" s="261">
        <f>VLOOKUP($A68,[1]Planilha!$A$18:$BK$553,54,FALSE)</f>
        <v>28.98</v>
      </c>
      <c r="G68" s="261">
        <f t="shared" si="0"/>
        <v>0.37000000000000099</v>
      </c>
      <c r="H68" s="271">
        <f t="shared" si="53"/>
        <v>40.57</v>
      </c>
      <c r="I68" s="261">
        <f>VLOOKUP($A68,[1]Planilha!$A$18:$BK$553,62,FALSE)</f>
        <v>40.57</v>
      </c>
      <c r="J68" s="261">
        <f t="shared" si="1"/>
        <v>0</v>
      </c>
      <c r="K68" s="263">
        <f>VLOOKUP(A68,[2]Plan1!$H$2:$J$279,3,FALSE)</f>
        <v>28.630068000000001</v>
      </c>
      <c r="L68" s="261">
        <f>VLOOKUP($A68,[1]Planilha!$A$18:$BK$553,52,FALSE)</f>
        <v>28.63</v>
      </c>
      <c r="M68" s="261">
        <f t="shared" si="2"/>
        <v>6.8000000002399474E-5</v>
      </c>
      <c r="N68" s="271">
        <f t="shared" si="54"/>
        <v>39.58</v>
      </c>
      <c r="O68" s="261">
        <f>VLOOKUP($A68,[1]Planilha!$A$18:$BK$553,60,FALSE)</f>
        <v>39.58</v>
      </c>
      <c r="P68" s="261">
        <f t="shared" si="3"/>
        <v>0</v>
      </c>
      <c r="Q68" s="271">
        <f t="shared" si="55"/>
        <v>28.46</v>
      </c>
      <c r="R68" s="261">
        <f>VLOOKUP($A68,[1]Planilha!$A$18:$BK$553,51,FALSE)</f>
        <v>28.46</v>
      </c>
      <c r="S68" s="261">
        <f t="shared" si="4"/>
        <v>0</v>
      </c>
      <c r="T68" s="271">
        <f t="shared" si="56"/>
        <v>39.340000000000003</v>
      </c>
      <c r="U68" s="261">
        <f>VLOOKUP($A68,[1]Planilha!$A$18:$BK$553,59,FALSE)</f>
        <v>39.340000000000003</v>
      </c>
      <c r="V68" s="261">
        <f t="shared" si="5"/>
        <v>0</v>
      </c>
      <c r="W68" s="271">
        <f t="shared" si="57"/>
        <v>28.29</v>
      </c>
      <c r="X68" s="261">
        <f>VLOOKUP($A68,[1]Planilha!$A$18:$BK$553,50,FALSE)</f>
        <v>28.29</v>
      </c>
      <c r="Y68" s="261">
        <f t="shared" si="6"/>
        <v>0</v>
      </c>
      <c r="Z68" s="271">
        <f t="shared" si="58"/>
        <v>39.11</v>
      </c>
      <c r="AA68" s="261">
        <f>VLOOKUP($A68,[1]Planilha!$A$18:$BK$553,58,FALSE)</f>
        <v>39.11</v>
      </c>
      <c r="AB68" s="261">
        <f t="shared" si="7"/>
        <v>0</v>
      </c>
      <c r="AC68" s="271">
        <f t="shared" si="59"/>
        <v>26.68</v>
      </c>
      <c r="AD68" s="261">
        <f>VLOOKUP($A68,[1]Planilha!$A$18:$BK$553,49,FALSE)</f>
        <v>26.68</v>
      </c>
      <c r="AE68" s="261">
        <f t="shared" si="8"/>
        <v>0</v>
      </c>
      <c r="AF68" s="272">
        <f t="shared" si="60"/>
        <v>36.880000000000003</v>
      </c>
      <c r="AG68" s="261">
        <f>VLOOKUP($A68,[1]Planilha!$A$18:$BK$553,57,FALSE)</f>
        <v>36.880000000000003</v>
      </c>
      <c r="AH68" s="261">
        <f t="shared" si="9"/>
        <v>0</v>
      </c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</row>
    <row r="69" spans="1:46" s="124" customFormat="1" ht="15">
      <c r="A69" s="414"/>
      <c r="B69" s="105" t="s">
        <v>308</v>
      </c>
      <c r="C69" s="105"/>
      <c r="D69" s="106"/>
      <c r="E69" s="188"/>
      <c r="F69" s="261" t="e">
        <f>VLOOKUP($A69,[1]Planilha!$A$18:$BK$553,54,FALSE)</f>
        <v>#N/A</v>
      </c>
      <c r="G69" s="261" t="e">
        <f t="shared" si="0"/>
        <v>#N/A</v>
      </c>
      <c r="H69" s="189"/>
      <c r="I69" s="261" t="e">
        <f>VLOOKUP($A69,[1]Planilha!$A$18:$BK$553,62,FALSE)</f>
        <v>#N/A</v>
      </c>
      <c r="J69" s="261" t="e">
        <f t="shared" si="1"/>
        <v>#N/A</v>
      </c>
      <c r="K69" s="188"/>
      <c r="L69" s="261" t="e">
        <f>VLOOKUP($A69,[1]Planilha!$A$18:$BK$553,52,FALSE)</f>
        <v>#N/A</v>
      </c>
      <c r="M69" s="261" t="e">
        <f t="shared" si="2"/>
        <v>#N/A</v>
      </c>
      <c r="N69" s="189"/>
      <c r="O69" s="261" t="e">
        <f>VLOOKUP($A69,[1]Planilha!$A$18:$BK$553,60,FALSE)</f>
        <v>#N/A</v>
      </c>
      <c r="P69" s="261" t="e">
        <f t="shared" si="3"/>
        <v>#N/A</v>
      </c>
      <c r="Q69" s="188"/>
      <c r="R69" s="261" t="e">
        <f>VLOOKUP($A69,[1]Planilha!$A$18:$BK$553,51,FALSE)</f>
        <v>#N/A</v>
      </c>
      <c r="S69" s="261" t="e">
        <f t="shared" si="4"/>
        <v>#N/A</v>
      </c>
      <c r="T69" s="189"/>
      <c r="U69" s="261" t="e">
        <f>VLOOKUP($A69,[1]Planilha!$A$18:$BK$553,59,FALSE)</f>
        <v>#N/A</v>
      </c>
      <c r="V69" s="261" t="e">
        <f t="shared" si="5"/>
        <v>#N/A</v>
      </c>
      <c r="W69" s="188"/>
      <c r="X69" s="261" t="e">
        <f>VLOOKUP($A69,[1]Planilha!$A$18:$BK$553,50,FALSE)</f>
        <v>#N/A</v>
      </c>
      <c r="Y69" s="261" t="e">
        <f t="shared" si="6"/>
        <v>#N/A</v>
      </c>
      <c r="Z69" s="189"/>
      <c r="AA69" s="261" t="e">
        <f>VLOOKUP($A69,[1]Planilha!$A$18:$BK$553,58,FALSE)</f>
        <v>#N/A</v>
      </c>
      <c r="AB69" s="261" t="e">
        <f t="shared" si="7"/>
        <v>#N/A</v>
      </c>
      <c r="AC69" s="188"/>
      <c r="AD69" s="261" t="e">
        <f>VLOOKUP($A69,[1]Planilha!$A$18:$BK$553,49,FALSE)</f>
        <v>#N/A</v>
      </c>
      <c r="AE69" s="261" t="e">
        <f t="shared" si="8"/>
        <v>#N/A</v>
      </c>
      <c r="AF69" s="191"/>
      <c r="AG69" s="261" t="e">
        <f>VLOOKUP($A69,[1]Planilha!$A$18:$BK$553,57,FALSE)</f>
        <v>#N/A</v>
      </c>
      <c r="AH69" s="261" t="e">
        <f t="shared" si="9"/>
        <v>#N/A</v>
      </c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</row>
    <row r="70" spans="1:46" s="124" customFormat="1">
      <c r="A70" s="232">
        <v>7891721014642</v>
      </c>
      <c r="B70" s="126">
        <v>1008902020618</v>
      </c>
      <c r="C70" s="117" t="s">
        <v>424</v>
      </c>
      <c r="D70" s="92" t="s">
        <v>752</v>
      </c>
      <c r="E70" s="265">
        <f>K70</f>
        <v>18.944184000000003</v>
      </c>
      <c r="F70" s="261">
        <f>VLOOKUP($A70,[1]Planilha!$A$18:$BK$553,54,FALSE)</f>
        <v>19.18</v>
      </c>
      <c r="G70" s="261">
        <f t="shared" si="0"/>
        <v>-0.23581599999999625</v>
      </c>
      <c r="H70" s="265">
        <f t="shared" ref="H70:H71" si="61">N70</f>
        <v>26.19</v>
      </c>
      <c r="I70" s="261">
        <f>VLOOKUP($A70,[1]Planilha!$A$18:$BK$553,62,FALSE)</f>
        <v>26.85</v>
      </c>
      <c r="J70" s="261">
        <f t="shared" si="1"/>
        <v>-0.66000000000000014</v>
      </c>
      <c r="K70" s="265">
        <f>VLOOKUP(A70,[2]Plan1!$H$2:$J$279,3,FALSE)</f>
        <v>18.944184000000003</v>
      </c>
      <c r="L70" s="261">
        <f>VLOOKUP($A70,[1]Planilha!$A$18:$BK$553,52,FALSE)</f>
        <v>18.940000000000001</v>
      </c>
      <c r="M70" s="261">
        <f t="shared" si="2"/>
        <v>4.184000000002186E-3</v>
      </c>
      <c r="N70" s="265">
        <f>ROUND(K70/0.723358,2)</f>
        <v>26.19</v>
      </c>
      <c r="O70" s="261">
        <f>VLOOKUP($A70,[1]Planilha!$A$18:$BK$553,60,FALSE)</f>
        <v>26.19</v>
      </c>
      <c r="P70" s="261">
        <f t="shared" si="3"/>
        <v>0</v>
      </c>
      <c r="Q70" s="265">
        <f t="shared" ref="Q70:Q80" si="62">ROUND(K70*0.993939,2)</f>
        <v>18.829999999999998</v>
      </c>
      <c r="R70" s="261">
        <f>VLOOKUP($A70,[1]Planilha!$A$18:$BK$553,51,FALSE)</f>
        <v>18.829999999999998</v>
      </c>
      <c r="S70" s="261">
        <f t="shared" si="4"/>
        <v>0</v>
      </c>
      <c r="T70" s="265">
        <f t="shared" ref="T70:T80" si="63">ROUND(Q70/0.723358,2)</f>
        <v>26.03</v>
      </c>
      <c r="U70" s="261">
        <f>VLOOKUP($A70,[1]Planilha!$A$18:$BK$553,59,FALSE)</f>
        <v>26.03</v>
      </c>
      <c r="V70" s="261">
        <f t="shared" si="5"/>
        <v>0</v>
      </c>
      <c r="W70" s="265">
        <f t="shared" si="57"/>
        <v>18.72</v>
      </c>
      <c r="X70" s="261">
        <f>VLOOKUP($A70,[1]Planilha!$A$18:$BK$553,50,FALSE)</f>
        <v>18.72</v>
      </c>
      <c r="Y70" s="261">
        <f t="shared" si="6"/>
        <v>0</v>
      </c>
      <c r="Z70" s="265">
        <f t="shared" si="58"/>
        <v>25.88</v>
      </c>
      <c r="AA70" s="261">
        <f>VLOOKUP($A70,[1]Planilha!$A$18:$BK$553,58,FALSE)</f>
        <v>25.88</v>
      </c>
      <c r="AB70" s="261">
        <f t="shared" si="7"/>
        <v>0</v>
      </c>
      <c r="AC70" s="265">
        <f t="shared" si="59"/>
        <v>17.649999999999999</v>
      </c>
      <c r="AD70" s="261">
        <f>VLOOKUP($A70,[1]Planilha!$A$18:$BK$553,49,FALSE)</f>
        <v>17.649999999999999</v>
      </c>
      <c r="AE70" s="261">
        <f t="shared" si="8"/>
        <v>0</v>
      </c>
      <c r="AF70" s="266">
        <f t="shared" si="60"/>
        <v>24.4</v>
      </c>
      <c r="AG70" s="261">
        <f>VLOOKUP($A70,[1]Planilha!$A$18:$BK$553,57,FALSE)</f>
        <v>24.4</v>
      </c>
      <c r="AH70" s="261">
        <f t="shared" si="9"/>
        <v>0</v>
      </c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</row>
    <row r="71" spans="1:46" s="124" customFormat="1">
      <c r="A71" s="233">
        <v>7891721014697</v>
      </c>
      <c r="B71" s="140">
        <v>1008902020642</v>
      </c>
      <c r="C71" s="126" t="s">
        <v>425</v>
      </c>
      <c r="D71" s="215" t="s">
        <v>622</v>
      </c>
      <c r="E71" s="267">
        <f>K71</f>
        <v>21.701176</v>
      </c>
      <c r="F71" s="261">
        <f>VLOOKUP($A71,[1]Planilha!$A$18:$BK$553,54,FALSE)</f>
        <v>21.97</v>
      </c>
      <c r="G71" s="261">
        <f t="shared" si="0"/>
        <v>-0.26882399999999862</v>
      </c>
      <c r="H71" s="267">
        <f t="shared" si="61"/>
        <v>30</v>
      </c>
      <c r="I71" s="261">
        <f>VLOOKUP($A71,[1]Planilha!$A$18:$BK$553,62,FALSE)</f>
        <v>30.75</v>
      </c>
      <c r="J71" s="261">
        <f t="shared" si="1"/>
        <v>-0.75</v>
      </c>
      <c r="K71" s="265">
        <f>VLOOKUP(A71,[2]Plan1!$H$2:$J$279,3,FALSE)</f>
        <v>21.701176</v>
      </c>
      <c r="L71" s="261">
        <f>VLOOKUP($A71,[1]Planilha!$A$18:$BK$553,52,FALSE)</f>
        <v>21.7</v>
      </c>
      <c r="M71" s="261">
        <f t="shared" si="2"/>
        <v>1.1760000000009541E-3</v>
      </c>
      <c r="N71" s="267">
        <f t="shared" ref="N71:N80" si="64">ROUND(K71/0.723358,2)</f>
        <v>30</v>
      </c>
      <c r="O71" s="261">
        <f>VLOOKUP($A71,[1]Planilha!$A$18:$BK$553,60,FALSE)</f>
        <v>30</v>
      </c>
      <c r="P71" s="261">
        <f t="shared" si="3"/>
        <v>0</v>
      </c>
      <c r="Q71" s="267">
        <f t="shared" si="62"/>
        <v>21.57</v>
      </c>
      <c r="R71" s="261">
        <f>VLOOKUP($A71,[1]Planilha!$A$18:$BK$553,51,FALSE)</f>
        <v>21.57</v>
      </c>
      <c r="S71" s="261">
        <f t="shared" si="4"/>
        <v>0</v>
      </c>
      <c r="T71" s="267">
        <f t="shared" si="63"/>
        <v>29.82</v>
      </c>
      <c r="U71" s="261">
        <f>VLOOKUP($A71,[1]Planilha!$A$18:$BK$553,59,FALSE)</f>
        <v>29.82</v>
      </c>
      <c r="V71" s="261">
        <f t="shared" si="5"/>
        <v>0</v>
      </c>
      <c r="W71" s="267">
        <f t="shared" si="57"/>
        <v>21.44</v>
      </c>
      <c r="X71" s="261">
        <f>VLOOKUP($A71,[1]Planilha!$A$18:$BK$553,50,FALSE)</f>
        <v>21.44</v>
      </c>
      <c r="Y71" s="261">
        <f t="shared" si="6"/>
        <v>0</v>
      </c>
      <c r="Z71" s="267">
        <f t="shared" si="58"/>
        <v>29.64</v>
      </c>
      <c r="AA71" s="261">
        <f>VLOOKUP($A71,[1]Planilha!$A$18:$BK$553,58,FALSE)</f>
        <v>29.64</v>
      </c>
      <c r="AB71" s="261">
        <f t="shared" si="7"/>
        <v>0</v>
      </c>
      <c r="AC71" s="267">
        <f t="shared" si="59"/>
        <v>20.22</v>
      </c>
      <c r="AD71" s="261">
        <f>VLOOKUP($A71,[1]Planilha!$A$18:$BK$553,49,FALSE)</f>
        <v>20.22</v>
      </c>
      <c r="AE71" s="261">
        <f t="shared" si="8"/>
        <v>0</v>
      </c>
      <c r="AF71" s="268">
        <f t="shared" si="60"/>
        <v>27.95</v>
      </c>
      <c r="AG71" s="261">
        <f>VLOOKUP($A71,[1]Planilha!$A$18:$BK$553,57,FALSE)</f>
        <v>27.95</v>
      </c>
      <c r="AH71" s="261">
        <f t="shared" si="9"/>
        <v>0</v>
      </c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</row>
    <row r="72" spans="1:46" s="124" customFormat="1">
      <c r="A72" s="233">
        <v>7891721014741</v>
      </c>
      <c r="B72" s="140">
        <v>1008902020677</v>
      </c>
      <c r="C72" s="141" t="s">
        <v>426</v>
      </c>
      <c r="D72" s="125" t="s">
        <v>432</v>
      </c>
      <c r="E72" s="267">
        <f t="shared" ref="E72:E73" si="65">ROUND(K72*1.025,2)</f>
        <v>24.56</v>
      </c>
      <c r="F72" s="261">
        <f>VLOOKUP($A72,[1]Planilha!$A$18:$BK$553,54,FALSE)</f>
        <v>24.26</v>
      </c>
      <c r="G72" s="261">
        <f t="shared" ref="G72:G135" si="66">E72-F72</f>
        <v>0.29999999999999716</v>
      </c>
      <c r="H72" s="267">
        <f t="shared" ref="H72:H73" si="67">ROUND(E72/0.723358,2)</f>
        <v>33.950000000000003</v>
      </c>
      <c r="I72" s="261">
        <f>VLOOKUP($A72,[1]Planilha!$A$18:$BK$553,62,FALSE)</f>
        <v>33.950000000000003</v>
      </c>
      <c r="J72" s="261">
        <f t="shared" ref="J72:J135" si="68">H72-I72</f>
        <v>0</v>
      </c>
      <c r="K72" s="265">
        <f>VLOOKUP(A72,[2]Plan1!$H$2:$J$279,3,FALSE)</f>
        <v>23.961504000000001</v>
      </c>
      <c r="L72" s="261">
        <f>VLOOKUP($A72,[1]Planilha!$A$18:$BK$553,52,FALSE)</f>
        <v>23.96</v>
      </c>
      <c r="M72" s="261">
        <f t="shared" ref="M72:M135" si="69">K72-L72</f>
        <v>1.504000000000616E-3</v>
      </c>
      <c r="N72" s="484">
        <v>33.119999999999997</v>
      </c>
      <c r="O72" s="261">
        <f>VLOOKUP($A72,[1]Planilha!$A$18:$BK$553,60,FALSE)</f>
        <v>33.119999999999997</v>
      </c>
      <c r="P72" s="261">
        <f t="shared" ref="P72:P135" si="70">N72-O72</f>
        <v>0</v>
      </c>
      <c r="Q72" s="267">
        <f t="shared" si="62"/>
        <v>23.82</v>
      </c>
      <c r="R72" s="261">
        <f>VLOOKUP($A72,[1]Planilha!$A$18:$BK$553,51,FALSE)</f>
        <v>23.82</v>
      </c>
      <c r="S72" s="261">
        <f t="shared" ref="S72:S135" si="71">Q72-R72</f>
        <v>0</v>
      </c>
      <c r="T72" s="267">
        <f t="shared" si="63"/>
        <v>32.93</v>
      </c>
      <c r="U72" s="261">
        <f>VLOOKUP($A72,[1]Planilha!$A$18:$BK$553,59,FALSE)</f>
        <v>32.93</v>
      </c>
      <c r="V72" s="261">
        <f t="shared" ref="V72:V135" si="72">T72-U72</f>
        <v>0</v>
      </c>
      <c r="W72" s="267">
        <f t="shared" si="57"/>
        <v>23.67</v>
      </c>
      <c r="X72" s="261">
        <f>VLOOKUP($A72,[1]Planilha!$A$18:$BK$553,50,FALSE)</f>
        <v>23.67</v>
      </c>
      <c r="Y72" s="261">
        <f t="shared" ref="Y72:Y135" si="73">W72-X72</f>
        <v>0</v>
      </c>
      <c r="Z72" s="267">
        <f t="shared" si="58"/>
        <v>32.72</v>
      </c>
      <c r="AA72" s="261">
        <f>VLOOKUP($A72,[1]Planilha!$A$18:$BK$553,58,FALSE)</f>
        <v>32.72</v>
      </c>
      <c r="AB72" s="261">
        <f t="shared" ref="AB72:AB135" si="74">Z72-AA72</f>
        <v>0</v>
      </c>
      <c r="AC72" s="267">
        <f t="shared" si="59"/>
        <v>22.33</v>
      </c>
      <c r="AD72" s="261">
        <f>VLOOKUP($A72,[1]Planilha!$A$18:$BK$553,49,FALSE)</f>
        <v>22.33</v>
      </c>
      <c r="AE72" s="261">
        <f t="shared" ref="AE72:AE135" si="75">AC72-AD72</f>
        <v>0</v>
      </c>
      <c r="AF72" s="268">
        <f t="shared" si="60"/>
        <v>30.87</v>
      </c>
      <c r="AG72" s="261">
        <f>VLOOKUP($A72,[1]Planilha!$A$18:$BK$553,57,FALSE)</f>
        <v>30.87</v>
      </c>
      <c r="AH72" s="261">
        <f t="shared" ref="AH72:AH135" si="76">AF72-AG72</f>
        <v>0</v>
      </c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</row>
    <row r="73" spans="1:46" s="124" customFormat="1">
      <c r="A73" s="233">
        <v>7891721014963</v>
      </c>
      <c r="B73" s="140">
        <v>1008902021347</v>
      </c>
      <c r="C73" s="141" t="s">
        <v>446</v>
      </c>
      <c r="D73" s="215" t="s">
        <v>587</v>
      </c>
      <c r="E73" s="267">
        <f t="shared" si="65"/>
        <v>22.46</v>
      </c>
      <c r="F73" s="261">
        <f>VLOOKUP($A73,[1]Planilha!$A$18:$BK$553,54,FALSE)</f>
        <v>22.18</v>
      </c>
      <c r="G73" s="261">
        <f t="shared" si="66"/>
        <v>0.28000000000000114</v>
      </c>
      <c r="H73" s="267">
        <f t="shared" si="67"/>
        <v>31.05</v>
      </c>
      <c r="I73" s="261">
        <f>VLOOKUP($A73,[1]Planilha!$A$18:$BK$553,62,FALSE)</f>
        <v>31.05</v>
      </c>
      <c r="J73" s="261">
        <f t="shared" si="68"/>
        <v>0</v>
      </c>
      <c r="K73" s="265">
        <f>VLOOKUP(A73,[2]Plan1!$H$2:$J$279,3,FALSE)</f>
        <v>21.914032000000002</v>
      </c>
      <c r="L73" s="261">
        <f>VLOOKUP($A73,[1]Planilha!$A$18:$BK$553,52,FALSE)</f>
        <v>21.91</v>
      </c>
      <c r="M73" s="261">
        <f t="shared" si="69"/>
        <v>4.032000000002256E-3</v>
      </c>
      <c r="N73" s="267">
        <f t="shared" si="64"/>
        <v>30.29</v>
      </c>
      <c r="O73" s="261">
        <f>VLOOKUP($A73,[1]Planilha!$A$18:$BK$553,60,FALSE)</f>
        <v>30.29</v>
      </c>
      <c r="P73" s="261">
        <f t="shared" si="70"/>
        <v>0</v>
      </c>
      <c r="Q73" s="267">
        <f t="shared" si="62"/>
        <v>21.78</v>
      </c>
      <c r="R73" s="261">
        <f>VLOOKUP($A73,[1]Planilha!$A$18:$BK$553,51,FALSE)</f>
        <v>21.78</v>
      </c>
      <c r="S73" s="261">
        <f t="shared" si="71"/>
        <v>0</v>
      </c>
      <c r="T73" s="267">
        <f t="shared" si="63"/>
        <v>30.11</v>
      </c>
      <c r="U73" s="261">
        <f>VLOOKUP($A73,[1]Planilha!$A$18:$BK$553,59,FALSE)</f>
        <v>30.11</v>
      </c>
      <c r="V73" s="261">
        <f t="shared" si="72"/>
        <v>0</v>
      </c>
      <c r="W73" s="267">
        <f t="shared" si="57"/>
        <v>21.65</v>
      </c>
      <c r="X73" s="261">
        <f>VLOOKUP($A73,[1]Planilha!$A$18:$BK$553,50,FALSE)</f>
        <v>21.65</v>
      </c>
      <c r="Y73" s="261">
        <f t="shared" si="73"/>
        <v>0</v>
      </c>
      <c r="Z73" s="267">
        <f t="shared" si="58"/>
        <v>29.93</v>
      </c>
      <c r="AA73" s="261">
        <f>VLOOKUP($A73,[1]Planilha!$A$18:$BK$553,58,FALSE)</f>
        <v>29.93</v>
      </c>
      <c r="AB73" s="261">
        <f t="shared" si="74"/>
        <v>0</v>
      </c>
      <c r="AC73" s="267">
        <f t="shared" si="59"/>
        <v>20.420000000000002</v>
      </c>
      <c r="AD73" s="261">
        <f>VLOOKUP($A73,[1]Planilha!$A$18:$BK$553,49,FALSE)</f>
        <v>20.420000000000002</v>
      </c>
      <c r="AE73" s="261">
        <f t="shared" si="75"/>
        <v>0</v>
      </c>
      <c r="AF73" s="268">
        <f t="shared" si="60"/>
        <v>28.23</v>
      </c>
      <c r="AG73" s="261">
        <f>VLOOKUP($A73,[1]Planilha!$A$18:$BK$553,57,FALSE)</f>
        <v>28.23</v>
      </c>
      <c r="AH73" s="261">
        <f t="shared" si="76"/>
        <v>0</v>
      </c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</row>
    <row r="74" spans="1:46" s="124" customFormat="1">
      <c r="A74" s="233">
        <v>7891721014239</v>
      </c>
      <c r="B74" s="140">
        <v>1008902020707</v>
      </c>
      <c r="C74" s="126" t="s">
        <v>427</v>
      </c>
      <c r="D74" s="215" t="s">
        <v>623</v>
      </c>
      <c r="E74" s="267">
        <f>K74</f>
        <v>24.752112000000004</v>
      </c>
      <c r="F74" s="261">
        <f>VLOOKUP($A74,[1]Planilha!$A$18:$BK$553,54,FALSE)</f>
        <v>25.06</v>
      </c>
      <c r="G74" s="261">
        <f t="shared" si="66"/>
        <v>-0.30788799999999483</v>
      </c>
      <c r="H74" s="267">
        <f>N74</f>
        <v>34.22</v>
      </c>
      <c r="I74" s="261">
        <f>VLOOKUP($A74,[1]Planilha!$A$18:$BK$553,62,FALSE)</f>
        <v>35.07</v>
      </c>
      <c r="J74" s="261">
        <f t="shared" si="68"/>
        <v>-0.85000000000000142</v>
      </c>
      <c r="K74" s="265">
        <f>VLOOKUP(A74,[2]Plan1!$H$2:$J$279,3,FALSE)</f>
        <v>24.752112000000004</v>
      </c>
      <c r="L74" s="261">
        <f>VLOOKUP($A74,[1]Planilha!$A$18:$BK$553,52,FALSE)</f>
        <v>24.75</v>
      </c>
      <c r="M74" s="261">
        <f t="shared" si="69"/>
        <v>2.1120000000038885E-3</v>
      </c>
      <c r="N74" s="267">
        <f t="shared" si="64"/>
        <v>34.22</v>
      </c>
      <c r="O74" s="261">
        <f>VLOOKUP($A74,[1]Planilha!$A$18:$BK$553,60,FALSE)</f>
        <v>34.22</v>
      </c>
      <c r="P74" s="261">
        <f t="shared" si="70"/>
        <v>0</v>
      </c>
      <c r="Q74" s="267">
        <f t="shared" si="62"/>
        <v>24.6</v>
      </c>
      <c r="R74" s="261">
        <f>VLOOKUP($A74,[1]Planilha!$A$18:$BK$553,51,FALSE)</f>
        <v>24.6</v>
      </c>
      <c r="S74" s="261">
        <f t="shared" si="71"/>
        <v>0</v>
      </c>
      <c r="T74" s="267">
        <f t="shared" si="63"/>
        <v>34.01</v>
      </c>
      <c r="U74" s="261">
        <f>VLOOKUP($A74,[1]Planilha!$A$18:$BK$553,59,FALSE)</f>
        <v>34.01</v>
      </c>
      <c r="V74" s="261">
        <f t="shared" si="72"/>
        <v>0</v>
      </c>
      <c r="W74" s="267">
        <f t="shared" si="57"/>
        <v>24.45</v>
      </c>
      <c r="X74" s="261">
        <f>VLOOKUP($A74,[1]Planilha!$A$18:$BK$553,50,FALSE)</f>
        <v>24.45</v>
      </c>
      <c r="Y74" s="261">
        <f t="shared" si="73"/>
        <v>0</v>
      </c>
      <c r="Z74" s="267">
        <f t="shared" si="58"/>
        <v>33.799999999999997</v>
      </c>
      <c r="AA74" s="261">
        <f>VLOOKUP($A74,[1]Planilha!$A$18:$BK$553,58,FALSE)</f>
        <v>33.799999999999997</v>
      </c>
      <c r="AB74" s="261">
        <f t="shared" si="74"/>
        <v>0</v>
      </c>
      <c r="AC74" s="267">
        <f t="shared" si="59"/>
        <v>23.06</v>
      </c>
      <c r="AD74" s="261">
        <f>VLOOKUP($A74,[1]Planilha!$A$18:$BK$553,49,FALSE)</f>
        <v>23.06</v>
      </c>
      <c r="AE74" s="261">
        <f t="shared" si="75"/>
        <v>0</v>
      </c>
      <c r="AF74" s="268">
        <f t="shared" si="60"/>
        <v>31.88</v>
      </c>
      <c r="AG74" s="261">
        <f>VLOOKUP($A74,[1]Planilha!$A$18:$BK$553,57,FALSE)</f>
        <v>31.88</v>
      </c>
      <c r="AH74" s="261">
        <f t="shared" si="76"/>
        <v>0</v>
      </c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  <c r="AT74" s="376"/>
    </row>
    <row r="75" spans="1:46" s="124" customFormat="1">
      <c r="A75" s="233">
        <v>7891721014987</v>
      </c>
      <c r="B75" s="140">
        <v>1008902021398</v>
      </c>
      <c r="C75" s="141" t="s">
        <v>447</v>
      </c>
      <c r="D75" s="215" t="s">
        <v>588</v>
      </c>
      <c r="E75" s="267">
        <f t="shared" ref="E75:E80" si="77">ROUND(K75*1.025,2)</f>
        <v>28.61</v>
      </c>
      <c r="F75" s="261">
        <f>VLOOKUP($A75,[1]Planilha!$A$18:$BK$553,54,FALSE)</f>
        <v>28.26</v>
      </c>
      <c r="G75" s="261">
        <f t="shared" si="66"/>
        <v>0.34999999999999787</v>
      </c>
      <c r="H75" s="267">
        <f t="shared" ref="H75:H80" si="78">ROUND(E75/0.723358,2)</f>
        <v>39.549999999999997</v>
      </c>
      <c r="I75" s="261">
        <f>VLOOKUP($A75,[1]Planilha!$A$18:$BK$553,62,FALSE)</f>
        <v>39.549999999999997</v>
      </c>
      <c r="J75" s="261">
        <f t="shared" si="68"/>
        <v>0</v>
      </c>
      <c r="K75" s="265">
        <f>VLOOKUP(A75,[2]Plan1!$H$2:$J$279,3,FALSE)</f>
        <v>27.914543999999999</v>
      </c>
      <c r="L75" s="261">
        <f>VLOOKUP($A75,[1]Planilha!$A$18:$BK$553,52,FALSE)</f>
        <v>27.91</v>
      </c>
      <c r="M75" s="261">
        <f t="shared" si="69"/>
        <v>4.5439999999992153E-3</v>
      </c>
      <c r="N75" s="267">
        <f t="shared" si="64"/>
        <v>38.590000000000003</v>
      </c>
      <c r="O75" s="261">
        <f>VLOOKUP($A75,[1]Planilha!$A$18:$BK$553,60,FALSE)</f>
        <v>38.590000000000003</v>
      </c>
      <c r="P75" s="261">
        <f t="shared" si="70"/>
        <v>0</v>
      </c>
      <c r="Q75" s="484">
        <v>27.74</v>
      </c>
      <c r="R75" s="261">
        <f>VLOOKUP($A75,[1]Planilha!$A$18:$BK$553,51,FALSE)</f>
        <v>27.74</v>
      </c>
      <c r="S75" s="261">
        <f t="shared" si="71"/>
        <v>0</v>
      </c>
      <c r="T75" s="267">
        <f t="shared" si="63"/>
        <v>38.35</v>
      </c>
      <c r="U75" s="261">
        <f>VLOOKUP($A75,[1]Planilha!$A$18:$BK$553,59,FALSE)</f>
        <v>38.35</v>
      </c>
      <c r="V75" s="261">
        <f t="shared" si="72"/>
        <v>0</v>
      </c>
      <c r="W75" s="267">
        <f t="shared" si="57"/>
        <v>27.58</v>
      </c>
      <c r="X75" s="261">
        <f>VLOOKUP($A75,[1]Planilha!$A$18:$BK$553,50,FALSE)</f>
        <v>27.58</v>
      </c>
      <c r="Y75" s="261">
        <f t="shared" si="73"/>
        <v>0</v>
      </c>
      <c r="Z75" s="267">
        <f t="shared" si="58"/>
        <v>38.130000000000003</v>
      </c>
      <c r="AA75" s="261">
        <f>VLOOKUP($A75,[1]Planilha!$A$18:$BK$553,58,FALSE)</f>
        <v>38.130000000000003</v>
      </c>
      <c r="AB75" s="261">
        <f t="shared" si="74"/>
        <v>0</v>
      </c>
      <c r="AC75" s="267">
        <f t="shared" si="59"/>
        <v>26.01</v>
      </c>
      <c r="AD75" s="261">
        <f>VLOOKUP($A75,[1]Planilha!$A$18:$BK$553,49,FALSE)</f>
        <v>26.01</v>
      </c>
      <c r="AE75" s="261">
        <f t="shared" si="75"/>
        <v>0</v>
      </c>
      <c r="AF75" s="268">
        <f t="shared" si="60"/>
        <v>35.96</v>
      </c>
      <c r="AG75" s="261">
        <f>VLOOKUP($A75,[1]Planilha!$A$18:$BK$553,57,FALSE)</f>
        <v>35.96</v>
      </c>
      <c r="AH75" s="261">
        <f t="shared" si="76"/>
        <v>0</v>
      </c>
      <c r="AI75" s="376"/>
      <c r="AJ75" s="376"/>
      <c r="AK75" s="376"/>
      <c r="AL75" s="376"/>
      <c r="AM75" s="376"/>
      <c r="AN75" s="376"/>
      <c r="AO75" s="376"/>
      <c r="AP75" s="376"/>
      <c r="AQ75" s="376"/>
      <c r="AR75" s="376"/>
      <c r="AS75" s="376"/>
      <c r="AT75" s="376"/>
    </row>
    <row r="76" spans="1:46" s="124" customFormat="1">
      <c r="A76" s="233">
        <v>7891721014086</v>
      </c>
      <c r="B76" s="140">
        <v>1008902020731</v>
      </c>
      <c r="C76" s="141" t="s">
        <v>428</v>
      </c>
      <c r="D76" s="215" t="s">
        <v>764</v>
      </c>
      <c r="E76" s="267">
        <f t="shared" si="77"/>
        <v>28.38</v>
      </c>
      <c r="F76" s="261">
        <f>VLOOKUP($A76,[1]Planilha!$A$18:$BK$553,54,FALSE)</f>
        <v>28.03</v>
      </c>
      <c r="G76" s="261">
        <f t="shared" si="66"/>
        <v>0.34999999999999787</v>
      </c>
      <c r="H76" s="267">
        <f t="shared" si="78"/>
        <v>39.229999999999997</v>
      </c>
      <c r="I76" s="261">
        <f>VLOOKUP($A76,[1]Planilha!$A$18:$BK$553,62,FALSE)</f>
        <v>39.229999999999997</v>
      </c>
      <c r="J76" s="261">
        <f t="shared" si="68"/>
        <v>0</v>
      </c>
      <c r="K76" s="265">
        <f>VLOOKUP(A76,[2]Plan1!$H$2:$J$279,3,FALSE)</f>
        <v>27.691552000000001</v>
      </c>
      <c r="L76" s="261">
        <f>VLOOKUP($A76,[1]Planilha!$A$18:$BK$553,52,FALSE)</f>
        <v>27.69</v>
      </c>
      <c r="M76" s="261">
        <f t="shared" si="69"/>
        <v>1.5520000000002199E-3</v>
      </c>
      <c r="N76" s="267">
        <f t="shared" si="64"/>
        <v>38.28</v>
      </c>
      <c r="O76" s="261">
        <f>VLOOKUP($A76,[1]Planilha!$A$18:$BK$553,60,FALSE)</f>
        <v>38.28</v>
      </c>
      <c r="P76" s="261">
        <f t="shared" si="70"/>
        <v>0</v>
      </c>
      <c r="Q76" s="267">
        <f t="shared" si="62"/>
        <v>27.52</v>
      </c>
      <c r="R76" s="261">
        <f>VLOOKUP($A76,[1]Planilha!$A$18:$BK$553,51,FALSE)</f>
        <v>27.52</v>
      </c>
      <c r="S76" s="261">
        <f t="shared" si="71"/>
        <v>0</v>
      </c>
      <c r="T76" s="267">
        <f t="shared" si="63"/>
        <v>38.04</v>
      </c>
      <c r="U76" s="261">
        <f>VLOOKUP($A76,[1]Planilha!$A$18:$BK$553,59,FALSE)</f>
        <v>38.04</v>
      </c>
      <c r="V76" s="261">
        <f t="shared" si="72"/>
        <v>0</v>
      </c>
      <c r="W76" s="267">
        <f t="shared" si="57"/>
        <v>27.36</v>
      </c>
      <c r="X76" s="261">
        <f>VLOOKUP($A76,[1]Planilha!$A$18:$BK$553,50,FALSE)</f>
        <v>27.36</v>
      </c>
      <c r="Y76" s="261">
        <f t="shared" si="73"/>
        <v>0</v>
      </c>
      <c r="Z76" s="267">
        <f t="shared" si="58"/>
        <v>37.82</v>
      </c>
      <c r="AA76" s="261">
        <f>VLOOKUP($A76,[1]Planilha!$A$18:$BK$553,58,FALSE)</f>
        <v>37.82</v>
      </c>
      <c r="AB76" s="261">
        <f t="shared" si="74"/>
        <v>0</v>
      </c>
      <c r="AC76" s="267">
        <f t="shared" si="59"/>
        <v>25.8</v>
      </c>
      <c r="AD76" s="261">
        <f>VLOOKUP($A76,[1]Planilha!$A$18:$BK$553,49,FALSE)</f>
        <v>25.8</v>
      </c>
      <c r="AE76" s="261">
        <f t="shared" si="75"/>
        <v>0</v>
      </c>
      <c r="AF76" s="268">
        <f t="shared" si="60"/>
        <v>35.67</v>
      </c>
      <c r="AG76" s="261">
        <f>VLOOKUP($A76,[1]Planilha!$A$18:$BK$553,57,FALSE)</f>
        <v>35.67</v>
      </c>
      <c r="AH76" s="261">
        <f t="shared" si="76"/>
        <v>0</v>
      </c>
      <c r="AI76" s="376"/>
      <c r="AJ76" s="376"/>
      <c r="AK76" s="376"/>
      <c r="AL76" s="376"/>
      <c r="AM76" s="376"/>
      <c r="AN76" s="376"/>
      <c r="AO76" s="376"/>
      <c r="AP76" s="376"/>
      <c r="AQ76" s="376"/>
      <c r="AR76" s="376"/>
      <c r="AS76" s="376"/>
      <c r="AT76" s="376"/>
    </row>
    <row r="77" spans="1:46" s="124" customFormat="1">
      <c r="A77" s="233">
        <v>7891721015007</v>
      </c>
      <c r="B77" s="140">
        <v>1008903590035</v>
      </c>
      <c r="C77" s="141" t="s">
        <v>574</v>
      </c>
      <c r="D77" s="215" t="s">
        <v>575</v>
      </c>
      <c r="E77" s="267">
        <f t="shared" si="77"/>
        <v>30.19</v>
      </c>
      <c r="F77" s="261">
        <f>VLOOKUP($A77,[1]Planilha!$A$18:$BK$553,54,FALSE)</f>
        <v>29.82</v>
      </c>
      <c r="G77" s="261">
        <f t="shared" si="66"/>
        <v>0.37000000000000099</v>
      </c>
      <c r="H77" s="267">
        <f t="shared" si="78"/>
        <v>41.74</v>
      </c>
      <c r="I77" s="261">
        <f>VLOOKUP($A77,[1]Planilha!$A$18:$BK$553,62,FALSE)</f>
        <v>41.74</v>
      </c>
      <c r="J77" s="261">
        <f t="shared" si="68"/>
        <v>0</v>
      </c>
      <c r="K77" s="265">
        <f>VLOOKUP(A77,[2]Plan1!$H$2:$J$279,3,FALSE)</f>
        <v>29.455216</v>
      </c>
      <c r="L77" s="261">
        <f>VLOOKUP($A77,[1]Planilha!$A$18:$BK$553,52,FALSE)</f>
        <v>29.46</v>
      </c>
      <c r="M77" s="261">
        <f t="shared" si="69"/>
        <v>-4.7840000000007876E-3</v>
      </c>
      <c r="N77" s="267">
        <f t="shared" si="64"/>
        <v>40.72</v>
      </c>
      <c r="O77" s="261">
        <f>VLOOKUP($A77,[1]Planilha!$A$18:$BK$553,60,FALSE)</f>
        <v>40.72</v>
      </c>
      <c r="P77" s="261">
        <f t="shared" si="70"/>
        <v>0</v>
      </c>
      <c r="Q77" s="267">
        <f t="shared" si="62"/>
        <v>29.28</v>
      </c>
      <c r="R77" s="261">
        <f>VLOOKUP($A77,[1]Planilha!$A$18:$BK$553,51,FALSE)</f>
        <v>29.28</v>
      </c>
      <c r="S77" s="261">
        <f t="shared" si="71"/>
        <v>0</v>
      </c>
      <c r="T77" s="267">
        <f t="shared" si="63"/>
        <v>40.479999999999997</v>
      </c>
      <c r="U77" s="261">
        <f>VLOOKUP($A77,[1]Planilha!$A$18:$BK$553,59,FALSE)</f>
        <v>40.479999999999997</v>
      </c>
      <c r="V77" s="261">
        <f t="shared" si="72"/>
        <v>0</v>
      </c>
      <c r="W77" s="267">
        <f t="shared" si="57"/>
        <v>29.1</v>
      </c>
      <c r="X77" s="261">
        <f>VLOOKUP($A77,[1]Planilha!$A$18:$BK$553,50,FALSE)</f>
        <v>29.1</v>
      </c>
      <c r="Y77" s="261">
        <f t="shared" si="73"/>
        <v>0</v>
      </c>
      <c r="Z77" s="267">
        <f t="shared" si="58"/>
        <v>40.229999999999997</v>
      </c>
      <c r="AA77" s="261">
        <f>VLOOKUP($A77,[1]Planilha!$A$18:$BK$553,58,FALSE)</f>
        <v>40.229999999999997</v>
      </c>
      <c r="AB77" s="261">
        <f t="shared" si="74"/>
        <v>0</v>
      </c>
      <c r="AC77" s="267">
        <f t="shared" si="59"/>
        <v>27.45</v>
      </c>
      <c r="AD77" s="261">
        <f>VLOOKUP($A77,[1]Planilha!$A$18:$BK$553,49,FALSE)</f>
        <v>27.45</v>
      </c>
      <c r="AE77" s="261">
        <f t="shared" si="75"/>
        <v>0</v>
      </c>
      <c r="AF77" s="268">
        <f t="shared" si="60"/>
        <v>37.950000000000003</v>
      </c>
      <c r="AG77" s="261">
        <f>VLOOKUP($A77,[1]Planilha!$A$18:$BK$553,57,FALSE)</f>
        <v>37.950000000000003</v>
      </c>
      <c r="AH77" s="261">
        <f t="shared" si="76"/>
        <v>0</v>
      </c>
      <c r="AI77" s="376"/>
      <c r="AJ77" s="376"/>
      <c r="AK77" s="376"/>
      <c r="AL77" s="376"/>
      <c r="AM77" s="376"/>
      <c r="AN77" s="376"/>
      <c r="AO77" s="376"/>
      <c r="AP77" s="376"/>
      <c r="AQ77" s="376"/>
      <c r="AR77" s="376"/>
      <c r="AS77" s="376"/>
      <c r="AT77" s="376"/>
    </row>
    <row r="78" spans="1:46" s="124" customFormat="1">
      <c r="A78" s="233">
        <v>7891721014130</v>
      </c>
      <c r="B78" s="140">
        <v>1008902020766</v>
      </c>
      <c r="C78" s="141" t="s">
        <v>429</v>
      </c>
      <c r="D78" s="215" t="s">
        <v>753</v>
      </c>
      <c r="E78" s="267">
        <f t="shared" si="77"/>
        <v>30.44</v>
      </c>
      <c r="F78" s="261">
        <f>VLOOKUP($A78,[1]Planilha!$A$18:$BK$553,54,FALSE)</f>
        <v>30.06</v>
      </c>
      <c r="G78" s="261">
        <f t="shared" si="66"/>
        <v>0.38000000000000256</v>
      </c>
      <c r="H78" s="267">
        <f t="shared" si="78"/>
        <v>42.08</v>
      </c>
      <c r="I78" s="261">
        <f>VLOOKUP($A78,[1]Planilha!$A$18:$BK$553,62,FALSE)</f>
        <v>42.08</v>
      </c>
      <c r="J78" s="261">
        <f t="shared" si="68"/>
        <v>0</v>
      </c>
      <c r="K78" s="265">
        <f>VLOOKUP(A78,[2]Plan1!$H$2:$J$279,3,FALSE)</f>
        <v>29.698480000000004</v>
      </c>
      <c r="L78" s="261">
        <f>VLOOKUP($A78,[1]Planilha!$A$18:$BK$553,52,FALSE)</f>
        <v>29.7</v>
      </c>
      <c r="M78" s="261">
        <f t="shared" si="69"/>
        <v>-1.519999999995747E-3</v>
      </c>
      <c r="N78" s="267">
        <f>ROUND(K78/0.723358,2)</f>
        <v>41.06</v>
      </c>
      <c r="O78" s="261">
        <f>VLOOKUP($A78,[1]Planilha!$A$18:$BK$553,60,FALSE)</f>
        <v>41.06</v>
      </c>
      <c r="P78" s="261">
        <f t="shared" si="70"/>
        <v>0</v>
      </c>
      <c r="Q78" s="267">
        <f t="shared" si="62"/>
        <v>29.52</v>
      </c>
      <c r="R78" s="261">
        <f>VLOOKUP($A78,[1]Planilha!$A$18:$BK$553,51,FALSE)</f>
        <v>29.52</v>
      </c>
      <c r="S78" s="261">
        <f t="shared" si="71"/>
        <v>0</v>
      </c>
      <c r="T78" s="267">
        <f t="shared" si="63"/>
        <v>40.81</v>
      </c>
      <c r="U78" s="261">
        <f>VLOOKUP($A78,[1]Planilha!$A$18:$BK$553,59,FALSE)</f>
        <v>40.81</v>
      </c>
      <c r="V78" s="261">
        <f t="shared" si="72"/>
        <v>0</v>
      </c>
      <c r="W78" s="267">
        <f t="shared" si="57"/>
        <v>29.34</v>
      </c>
      <c r="X78" s="261">
        <f>VLOOKUP($A78,[1]Planilha!$A$18:$BK$553,50,FALSE)</f>
        <v>29.34</v>
      </c>
      <c r="Y78" s="261">
        <f t="shared" si="73"/>
        <v>0</v>
      </c>
      <c r="Z78" s="267">
        <f t="shared" si="58"/>
        <v>40.56</v>
      </c>
      <c r="AA78" s="261">
        <f>VLOOKUP($A78,[1]Planilha!$A$18:$BK$553,58,FALSE)</f>
        <v>40.56</v>
      </c>
      <c r="AB78" s="261">
        <f t="shared" si="74"/>
        <v>0</v>
      </c>
      <c r="AC78" s="267">
        <f t="shared" si="59"/>
        <v>27.67</v>
      </c>
      <c r="AD78" s="261">
        <f>VLOOKUP($A78,[1]Planilha!$A$18:$BK$553,49,FALSE)</f>
        <v>27.67</v>
      </c>
      <c r="AE78" s="261">
        <f t="shared" si="75"/>
        <v>0</v>
      </c>
      <c r="AF78" s="268">
        <f t="shared" si="60"/>
        <v>38.25</v>
      </c>
      <c r="AG78" s="261">
        <f>VLOOKUP($A78,[1]Planilha!$A$18:$BK$553,57,FALSE)</f>
        <v>38.25</v>
      </c>
      <c r="AH78" s="261">
        <f t="shared" si="76"/>
        <v>0</v>
      </c>
      <c r="AI78" s="376"/>
      <c r="AJ78" s="376"/>
      <c r="AK78" s="376"/>
      <c r="AL78" s="376"/>
      <c r="AM78" s="376"/>
      <c r="AN78" s="376"/>
      <c r="AO78" s="376"/>
      <c r="AP78" s="376"/>
      <c r="AQ78" s="376"/>
      <c r="AR78" s="376"/>
      <c r="AS78" s="376"/>
      <c r="AT78" s="376"/>
    </row>
    <row r="79" spans="1:46" s="124" customFormat="1">
      <c r="A79" s="233">
        <v>7891721014185</v>
      </c>
      <c r="B79" s="140">
        <v>1008902020790</v>
      </c>
      <c r="C79" s="141" t="s">
        <v>430</v>
      </c>
      <c r="D79" s="215" t="s">
        <v>433</v>
      </c>
      <c r="E79" s="267">
        <f t="shared" si="77"/>
        <v>34.229999999999997</v>
      </c>
      <c r="F79" s="261">
        <f>VLOOKUP($A79,[1]Planilha!$A$18:$BK$553,54,FALSE)</f>
        <v>33.81</v>
      </c>
      <c r="G79" s="261">
        <f t="shared" si="66"/>
        <v>0.4199999999999946</v>
      </c>
      <c r="H79" s="267">
        <f t="shared" si="78"/>
        <v>47.32</v>
      </c>
      <c r="I79" s="261">
        <f>VLOOKUP($A79,[1]Planilha!$A$18:$BK$553,62,FALSE)</f>
        <v>47.32</v>
      </c>
      <c r="J79" s="261">
        <f t="shared" si="68"/>
        <v>0</v>
      </c>
      <c r="K79" s="265">
        <f>VLOOKUP(A79,[2]Plan1!$H$2:$J$279,3,FALSE)</f>
        <v>33.398120000000006</v>
      </c>
      <c r="L79" s="261">
        <f>VLOOKUP($A79,[1]Planilha!$A$18:$BK$553,52,FALSE)</f>
        <v>33.4</v>
      </c>
      <c r="M79" s="261">
        <f t="shared" si="69"/>
        <v>-1.8799999999927763E-3</v>
      </c>
      <c r="N79" s="267">
        <f t="shared" si="64"/>
        <v>46.17</v>
      </c>
      <c r="O79" s="261">
        <f>VLOOKUP($A79,[1]Planilha!$A$18:$BK$553,60,FALSE)</f>
        <v>46.17</v>
      </c>
      <c r="P79" s="261">
        <f t="shared" si="70"/>
        <v>0</v>
      </c>
      <c r="Q79" s="267">
        <f t="shared" si="62"/>
        <v>33.200000000000003</v>
      </c>
      <c r="R79" s="261">
        <f>VLOOKUP($A79,[1]Planilha!$A$18:$BK$553,51,FALSE)</f>
        <v>33.200000000000003</v>
      </c>
      <c r="S79" s="261">
        <f t="shared" si="71"/>
        <v>0</v>
      </c>
      <c r="T79" s="267">
        <f t="shared" si="63"/>
        <v>45.9</v>
      </c>
      <c r="U79" s="261">
        <f>VLOOKUP($A79,[1]Planilha!$A$18:$BK$553,59,FALSE)</f>
        <v>45.9</v>
      </c>
      <c r="V79" s="261">
        <f t="shared" si="72"/>
        <v>0</v>
      </c>
      <c r="W79" s="267">
        <f t="shared" si="57"/>
        <v>33</v>
      </c>
      <c r="X79" s="261">
        <f>VLOOKUP($A79,[1]Planilha!$A$18:$BK$553,50,FALSE)</f>
        <v>33</v>
      </c>
      <c r="Y79" s="261">
        <f t="shared" si="73"/>
        <v>0</v>
      </c>
      <c r="Z79" s="267">
        <f t="shared" si="58"/>
        <v>45.62</v>
      </c>
      <c r="AA79" s="261">
        <f>VLOOKUP($A79,[1]Planilha!$A$18:$BK$553,58,FALSE)</f>
        <v>45.62</v>
      </c>
      <c r="AB79" s="261">
        <f t="shared" si="74"/>
        <v>0</v>
      </c>
      <c r="AC79" s="267">
        <f t="shared" si="59"/>
        <v>31.12</v>
      </c>
      <c r="AD79" s="261">
        <f>VLOOKUP($A79,[1]Planilha!$A$18:$BK$553,49,FALSE)</f>
        <v>31.12</v>
      </c>
      <c r="AE79" s="261">
        <f t="shared" si="75"/>
        <v>0</v>
      </c>
      <c r="AF79" s="268">
        <f t="shared" si="60"/>
        <v>43.02</v>
      </c>
      <c r="AG79" s="261">
        <f>VLOOKUP($A79,[1]Planilha!$A$18:$BK$553,57,FALSE)</f>
        <v>43.02</v>
      </c>
      <c r="AH79" s="261">
        <f t="shared" si="76"/>
        <v>0</v>
      </c>
      <c r="AI79" s="376"/>
      <c r="AJ79" s="376"/>
      <c r="AK79" s="376"/>
      <c r="AL79" s="376"/>
      <c r="AM79" s="376"/>
      <c r="AN79" s="376"/>
      <c r="AO79" s="376"/>
      <c r="AP79" s="376"/>
      <c r="AQ79" s="376"/>
      <c r="AR79" s="376"/>
      <c r="AS79" s="376"/>
      <c r="AT79" s="376"/>
    </row>
    <row r="80" spans="1:46" s="124" customFormat="1">
      <c r="A80" s="233">
        <v>7891721014796</v>
      </c>
      <c r="B80" s="140">
        <v>1008902020820</v>
      </c>
      <c r="C80" s="142" t="s">
        <v>431</v>
      </c>
      <c r="D80" s="92" t="s">
        <v>434</v>
      </c>
      <c r="E80" s="269">
        <f t="shared" si="77"/>
        <v>37.68</v>
      </c>
      <c r="F80" s="261">
        <f>VLOOKUP($A80,[1]Planilha!$A$18:$BK$553,54,FALSE)</f>
        <v>37.22</v>
      </c>
      <c r="G80" s="261">
        <f t="shared" si="66"/>
        <v>0.46000000000000085</v>
      </c>
      <c r="H80" s="269">
        <f t="shared" si="78"/>
        <v>52.09</v>
      </c>
      <c r="I80" s="261">
        <f>VLOOKUP($A80,[1]Planilha!$A$18:$BK$553,62,FALSE)</f>
        <v>52.09</v>
      </c>
      <c r="J80" s="261">
        <f t="shared" si="68"/>
        <v>0</v>
      </c>
      <c r="K80" s="265">
        <f>VLOOKUP(A80,[2]Plan1!$H$2:$J$279,3,FALSE)</f>
        <v>36.763272000000008</v>
      </c>
      <c r="L80" s="261">
        <f>VLOOKUP($A80,[1]Planilha!$A$18:$BK$553,52,FALSE)</f>
        <v>36.76</v>
      </c>
      <c r="M80" s="261">
        <f t="shared" si="69"/>
        <v>3.2720000000097116E-3</v>
      </c>
      <c r="N80" s="269">
        <f t="shared" si="64"/>
        <v>50.82</v>
      </c>
      <c r="O80" s="261">
        <f>VLOOKUP($A80,[1]Planilha!$A$18:$BK$553,60,FALSE)</f>
        <v>50.82</v>
      </c>
      <c r="P80" s="261">
        <f t="shared" si="70"/>
        <v>0</v>
      </c>
      <c r="Q80" s="269">
        <f t="shared" si="62"/>
        <v>36.54</v>
      </c>
      <c r="R80" s="261">
        <f>VLOOKUP($A80,[1]Planilha!$A$18:$BK$553,51,FALSE)</f>
        <v>36.54</v>
      </c>
      <c r="S80" s="261">
        <f t="shared" si="71"/>
        <v>0</v>
      </c>
      <c r="T80" s="269">
        <f t="shared" si="63"/>
        <v>50.51</v>
      </c>
      <c r="U80" s="261">
        <f>VLOOKUP($A80,[1]Planilha!$A$18:$BK$553,59,FALSE)</f>
        <v>50.51</v>
      </c>
      <c r="V80" s="261">
        <f t="shared" si="72"/>
        <v>0</v>
      </c>
      <c r="W80" s="269">
        <f t="shared" si="57"/>
        <v>36.32</v>
      </c>
      <c r="X80" s="261">
        <f>VLOOKUP($A80,[1]Planilha!$A$18:$BK$553,50,FALSE)</f>
        <v>36.32</v>
      </c>
      <c r="Y80" s="261">
        <f t="shared" si="73"/>
        <v>0</v>
      </c>
      <c r="Z80" s="269">
        <f t="shared" si="58"/>
        <v>50.21</v>
      </c>
      <c r="AA80" s="261">
        <f>VLOOKUP($A80,[1]Planilha!$A$18:$BK$553,58,FALSE)</f>
        <v>50.21</v>
      </c>
      <c r="AB80" s="261">
        <f t="shared" si="74"/>
        <v>0</v>
      </c>
      <c r="AC80" s="269">
        <f t="shared" si="59"/>
        <v>34.26</v>
      </c>
      <c r="AD80" s="261">
        <f>VLOOKUP($A80,[1]Planilha!$A$18:$BK$553,49,FALSE)</f>
        <v>34.26</v>
      </c>
      <c r="AE80" s="261">
        <f t="shared" si="75"/>
        <v>0</v>
      </c>
      <c r="AF80" s="270">
        <f t="shared" si="60"/>
        <v>47.36</v>
      </c>
      <c r="AG80" s="261">
        <f>VLOOKUP($A80,[1]Planilha!$A$18:$BK$553,57,FALSE)</f>
        <v>47.36</v>
      </c>
      <c r="AH80" s="261">
        <f t="shared" si="76"/>
        <v>0</v>
      </c>
      <c r="AI80" s="376"/>
      <c r="AJ80" s="376"/>
      <c r="AK80" s="376"/>
      <c r="AL80" s="376"/>
      <c r="AM80" s="376"/>
      <c r="AN80" s="376"/>
      <c r="AO80" s="376"/>
      <c r="AP80" s="376"/>
      <c r="AQ80" s="376"/>
      <c r="AR80" s="376"/>
      <c r="AS80" s="376"/>
      <c r="AT80" s="376"/>
    </row>
    <row r="81" spans="1:46" s="124" customFormat="1" ht="15">
      <c r="A81" s="414"/>
      <c r="B81" s="105" t="s">
        <v>356</v>
      </c>
      <c r="C81" s="105"/>
      <c r="D81" s="106"/>
      <c r="E81" s="186"/>
      <c r="F81" s="261" t="e">
        <f>VLOOKUP($A81,[1]Planilha!$A$18:$BK$553,54,FALSE)</f>
        <v>#N/A</v>
      </c>
      <c r="G81" s="261" t="e">
        <f t="shared" si="66"/>
        <v>#N/A</v>
      </c>
      <c r="H81" s="187"/>
      <c r="I81" s="261" t="e">
        <f>VLOOKUP($A81,[1]Planilha!$A$18:$BK$553,62,FALSE)</f>
        <v>#N/A</v>
      </c>
      <c r="J81" s="261" t="e">
        <f t="shared" si="68"/>
        <v>#N/A</v>
      </c>
      <c r="K81" s="186"/>
      <c r="L81" s="261" t="e">
        <f>VLOOKUP($A81,[1]Planilha!$A$18:$BK$553,52,FALSE)</f>
        <v>#N/A</v>
      </c>
      <c r="M81" s="261" t="e">
        <f t="shared" si="69"/>
        <v>#N/A</v>
      </c>
      <c r="N81" s="187"/>
      <c r="O81" s="261" t="e">
        <f>VLOOKUP($A81,[1]Planilha!$A$18:$BK$553,60,FALSE)</f>
        <v>#N/A</v>
      </c>
      <c r="P81" s="261" t="e">
        <f t="shared" si="70"/>
        <v>#N/A</v>
      </c>
      <c r="Q81" s="186"/>
      <c r="R81" s="261" t="e">
        <f>VLOOKUP($A81,[1]Planilha!$A$18:$BK$553,51,FALSE)</f>
        <v>#N/A</v>
      </c>
      <c r="S81" s="261" t="e">
        <f t="shared" si="71"/>
        <v>#N/A</v>
      </c>
      <c r="T81" s="187"/>
      <c r="U81" s="261" t="e">
        <f>VLOOKUP($A81,[1]Planilha!$A$18:$BK$553,59,FALSE)</f>
        <v>#N/A</v>
      </c>
      <c r="V81" s="261" t="e">
        <f t="shared" si="72"/>
        <v>#N/A</v>
      </c>
      <c r="W81" s="186"/>
      <c r="X81" s="261" t="e">
        <f>VLOOKUP($A81,[1]Planilha!$A$18:$BK$553,50,FALSE)</f>
        <v>#N/A</v>
      </c>
      <c r="Y81" s="261" t="e">
        <f t="shared" si="73"/>
        <v>#N/A</v>
      </c>
      <c r="Z81" s="187"/>
      <c r="AA81" s="261" t="e">
        <f>VLOOKUP($A81,[1]Planilha!$A$18:$BK$553,58,FALSE)</f>
        <v>#N/A</v>
      </c>
      <c r="AB81" s="261" t="e">
        <f t="shared" si="74"/>
        <v>#N/A</v>
      </c>
      <c r="AC81" s="186"/>
      <c r="AD81" s="261" t="e">
        <f>VLOOKUP($A81,[1]Planilha!$A$18:$BK$553,49,FALSE)</f>
        <v>#N/A</v>
      </c>
      <c r="AE81" s="261" t="e">
        <f t="shared" si="75"/>
        <v>#N/A</v>
      </c>
      <c r="AF81" s="190"/>
      <c r="AG81" s="261" t="e">
        <f>VLOOKUP($A81,[1]Planilha!$A$18:$BK$553,57,FALSE)</f>
        <v>#N/A</v>
      </c>
      <c r="AH81" s="261" t="e">
        <f t="shared" si="76"/>
        <v>#N/A</v>
      </c>
      <c r="AI81" s="376"/>
      <c r="AJ81" s="376"/>
      <c r="AK81" s="376"/>
      <c r="AL81" s="376"/>
      <c r="AM81" s="376"/>
      <c r="AN81" s="376"/>
      <c r="AO81" s="376"/>
      <c r="AP81" s="376"/>
      <c r="AQ81" s="376"/>
      <c r="AR81" s="376"/>
      <c r="AS81" s="376"/>
      <c r="AT81" s="376"/>
    </row>
    <row r="82" spans="1:46" s="124" customFormat="1">
      <c r="A82" s="681">
        <v>7891721000911</v>
      </c>
      <c r="B82" s="135">
        <v>1008902150023</v>
      </c>
      <c r="C82" s="116" t="s">
        <v>526</v>
      </c>
      <c r="D82" s="329" t="s">
        <v>488</v>
      </c>
      <c r="E82" s="330">
        <f>ROUND(K82*1.025,2)</f>
        <v>47.99</v>
      </c>
      <c r="F82" s="261">
        <f>VLOOKUP($A82,[1]Planilha!$A$18:$BK$553,54,FALSE)</f>
        <v>47.4</v>
      </c>
      <c r="G82" s="261">
        <f t="shared" si="66"/>
        <v>0.59000000000000341</v>
      </c>
      <c r="H82" s="330">
        <f>ROUND(E82/0.723358,2)</f>
        <v>66.34</v>
      </c>
      <c r="I82" s="261">
        <f>VLOOKUP($A82,[1]Planilha!$A$18:$BK$553,62,FALSE)</f>
        <v>66.34</v>
      </c>
      <c r="J82" s="261">
        <f t="shared" si="68"/>
        <v>0</v>
      </c>
      <c r="K82" s="330">
        <f>VLOOKUP(A82,[2]Plan1!$H$2:$J$279,3,FALSE)</f>
        <v>46.820157999999999</v>
      </c>
      <c r="L82" s="261">
        <f>VLOOKUP($A82,[1]Planilha!$A$18:$BK$553,52,FALSE)</f>
        <v>46.82</v>
      </c>
      <c r="M82" s="261">
        <f t="shared" si="69"/>
        <v>1.5799999999899228E-4</v>
      </c>
      <c r="N82" s="330">
        <f>ROUND(K82/0.723358,2)</f>
        <v>64.73</v>
      </c>
      <c r="O82" s="261">
        <f>VLOOKUP($A82,[1]Planilha!$A$18:$BK$553,60,FALSE)</f>
        <v>64.73</v>
      </c>
      <c r="P82" s="261">
        <f t="shared" si="70"/>
        <v>0</v>
      </c>
      <c r="Q82" s="330">
        <f>ROUND(K82*0.993939,2)</f>
        <v>46.54</v>
      </c>
      <c r="R82" s="261">
        <f>VLOOKUP($A82,[1]Planilha!$A$18:$BK$553,51,FALSE)</f>
        <v>46.54</v>
      </c>
      <c r="S82" s="261">
        <f t="shared" si="71"/>
        <v>0</v>
      </c>
      <c r="T82" s="330">
        <f>ROUND(Q82/0.723358,2)</f>
        <v>64.34</v>
      </c>
      <c r="U82" s="261">
        <f>VLOOKUP($A82,[1]Planilha!$A$18:$BK$553,59,FALSE)</f>
        <v>64.34</v>
      </c>
      <c r="V82" s="261">
        <f t="shared" si="72"/>
        <v>0</v>
      </c>
      <c r="W82" s="330">
        <f t="shared" si="57"/>
        <v>46.26</v>
      </c>
      <c r="X82" s="261">
        <f>VLOOKUP($A82,[1]Planilha!$A$18:$BK$553,50,FALSE)</f>
        <v>46.26</v>
      </c>
      <c r="Y82" s="261">
        <f t="shared" si="73"/>
        <v>0</v>
      </c>
      <c r="Z82" s="330">
        <f t="shared" si="58"/>
        <v>63.95</v>
      </c>
      <c r="AA82" s="261">
        <f>VLOOKUP($A82,[1]Planilha!$A$18:$BK$553,58,FALSE)</f>
        <v>63.95</v>
      </c>
      <c r="AB82" s="261">
        <f t="shared" si="74"/>
        <v>0</v>
      </c>
      <c r="AC82" s="330">
        <f t="shared" si="59"/>
        <v>43.63</v>
      </c>
      <c r="AD82" s="261">
        <f>VLOOKUP($A82,[1]Planilha!$A$18:$BK$553,49,FALSE)</f>
        <v>43.63</v>
      </c>
      <c r="AE82" s="261">
        <f t="shared" si="75"/>
        <v>0</v>
      </c>
      <c r="AF82" s="331">
        <f t="shared" si="60"/>
        <v>60.32</v>
      </c>
      <c r="AG82" s="261">
        <f>VLOOKUP($A82,[1]Planilha!$A$18:$BK$553,57,FALSE)</f>
        <v>60.32</v>
      </c>
      <c r="AH82" s="261">
        <f t="shared" si="76"/>
        <v>0</v>
      </c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  <c r="AT82" s="376"/>
    </row>
    <row r="83" spans="1:46" s="124" customFormat="1" ht="15">
      <c r="A83" s="414"/>
      <c r="B83" s="105" t="s">
        <v>418</v>
      </c>
      <c r="C83" s="105"/>
      <c r="D83" s="106"/>
      <c r="E83" s="188"/>
      <c r="F83" s="261" t="e">
        <f>VLOOKUP($A83,[1]Planilha!$A$18:$BK$553,54,FALSE)</f>
        <v>#N/A</v>
      </c>
      <c r="G83" s="261" t="e">
        <f t="shared" si="66"/>
        <v>#N/A</v>
      </c>
      <c r="H83" s="189"/>
      <c r="I83" s="261" t="e">
        <f>VLOOKUP($A83,[1]Planilha!$A$18:$BK$553,62,FALSE)</f>
        <v>#N/A</v>
      </c>
      <c r="J83" s="261" t="e">
        <f t="shared" si="68"/>
        <v>#N/A</v>
      </c>
      <c r="K83" s="188"/>
      <c r="L83" s="261" t="e">
        <f>VLOOKUP($A83,[1]Planilha!$A$18:$BK$553,52,FALSE)</f>
        <v>#N/A</v>
      </c>
      <c r="M83" s="261" t="e">
        <f t="shared" si="69"/>
        <v>#N/A</v>
      </c>
      <c r="N83" s="189"/>
      <c r="O83" s="261" t="e">
        <f>VLOOKUP($A83,[1]Planilha!$A$18:$BK$553,60,FALSE)</f>
        <v>#N/A</v>
      </c>
      <c r="P83" s="261" t="e">
        <f t="shared" si="70"/>
        <v>#N/A</v>
      </c>
      <c r="Q83" s="188"/>
      <c r="R83" s="261" t="e">
        <f>VLOOKUP($A83,[1]Planilha!$A$18:$BK$553,51,FALSE)</f>
        <v>#N/A</v>
      </c>
      <c r="S83" s="261" t="e">
        <f t="shared" si="71"/>
        <v>#N/A</v>
      </c>
      <c r="T83" s="189"/>
      <c r="U83" s="261" t="e">
        <f>VLOOKUP($A83,[1]Planilha!$A$18:$BK$553,59,FALSE)</f>
        <v>#N/A</v>
      </c>
      <c r="V83" s="261" t="e">
        <f t="shared" si="72"/>
        <v>#N/A</v>
      </c>
      <c r="W83" s="188"/>
      <c r="X83" s="261" t="e">
        <f>VLOOKUP($A83,[1]Planilha!$A$18:$BK$553,50,FALSE)</f>
        <v>#N/A</v>
      </c>
      <c r="Y83" s="261" t="e">
        <f t="shared" si="73"/>
        <v>#N/A</v>
      </c>
      <c r="Z83" s="189"/>
      <c r="AA83" s="261" t="e">
        <f>VLOOKUP($A83,[1]Planilha!$A$18:$BK$553,58,FALSE)</f>
        <v>#N/A</v>
      </c>
      <c r="AB83" s="261" t="e">
        <f t="shared" si="74"/>
        <v>#N/A</v>
      </c>
      <c r="AC83" s="188"/>
      <c r="AD83" s="261" t="e">
        <f>VLOOKUP($A83,[1]Planilha!$A$18:$BK$553,49,FALSE)</f>
        <v>#N/A</v>
      </c>
      <c r="AE83" s="261" t="e">
        <f t="shared" si="75"/>
        <v>#N/A</v>
      </c>
      <c r="AF83" s="191"/>
      <c r="AG83" s="261" t="e">
        <f>VLOOKUP($A83,[1]Planilha!$A$18:$BK$553,57,FALSE)</f>
        <v>#N/A</v>
      </c>
      <c r="AH83" s="261" t="e">
        <f t="shared" si="76"/>
        <v>#N/A</v>
      </c>
      <c r="AI83" s="376"/>
      <c r="AJ83" s="376"/>
      <c r="AK83" s="376"/>
      <c r="AL83" s="376"/>
      <c r="AM83" s="376"/>
      <c r="AN83" s="376"/>
      <c r="AO83" s="376"/>
      <c r="AP83" s="376"/>
      <c r="AQ83" s="376"/>
      <c r="AR83" s="376"/>
      <c r="AS83" s="376"/>
      <c r="AT83" s="376"/>
    </row>
    <row r="84" spans="1:46" s="124" customFormat="1">
      <c r="A84" s="233">
        <v>7891721015496</v>
      </c>
      <c r="B84" s="126">
        <v>1008903410010</v>
      </c>
      <c r="C84" s="117" t="s">
        <v>419</v>
      </c>
      <c r="D84" s="218" t="s">
        <v>624</v>
      </c>
      <c r="E84" s="263">
        <f>K84</f>
        <v>20.417724</v>
      </c>
      <c r="F84" s="261">
        <f>VLOOKUP($A84,[1]Planilha!$A$18:$BK$553,54,FALSE)</f>
        <v>20.67</v>
      </c>
      <c r="G84" s="261">
        <f t="shared" si="66"/>
        <v>-0.25227600000000194</v>
      </c>
      <c r="H84" s="263">
        <f t="shared" ref="H84:H85" si="79">N84</f>
        <v>28.23</v>
      </c>
      <c r="I84" s="261">
        <f>VLOOKUP($A84,[1]Planilha!$A$18:$BK$553,62,FALSE)</f>
        <v>28.93</v>
      </c>
      <c r="J84" s="261">
        <f t="shared" si="68"/>
        <v>-0.69999999999999929</v>
      </c>
      <c r="K84" s="263">
        <f>VLOOKUP(A84,[2]Plan1!$H$2:$J$279,3,FALSE)</f>
        <v>20.417724</v>
      </c>
      <c r="L84" s="261">
        <f>VLOOKUP($A84,[1]Planilha!$A$18:$BK$553,52,FALSE)</f>
        <v>20.420000000000002</v>
      </c>
      <c r="M84" s="261">
        <f t="shared" si="69"/>
        <v>-2.2760000000019431E-3</v>
      </c>
      <c r="N84" s="263">
        <f t="shared" ref="N84:N85" si="80">ROUND(K84/0.723358,2)</f>
        <v>28.23</v>
      </c>
      <c r="O84" s="261">
        <f>VLOOKUP($A84,[1]Planilha!$A$18:$BK$553,60,FALSE)</f>
        <v>28.23</v>
      </c>
      <c r="P84" s="261">
        <f t="shared" si="70"/>
        <v>0</v>
      </c>
      <c r="Q84" s="263">
        <f t="shared" ref="Q84:Q87" si="81">ROUND(K84*0.993939,2)</f>
        <v>20.29</v>
      </c>
      <c r="R84" s="261">
        <f>VLOOKUP($A84,[1]Planilha!$A$18:$BK$553,51,FALSE)</f>
        <v>20.29</v>
      </c>
      <c r="S84" s="261">
        <f t="shared" si="71"/>
        <v>0</v>
      </c>
      <c r="T84" s="263">
        <f t="shared" ref="T84:T85" si="82">ROUND(Q84/0.723358,2)</f>
        <v>28.05</v>
      </c>
      <c r="U84" s="261">
        <f>VLOOKUP($A84,[1]Planilha!$A$18:$BK$553,59,FALSE)</f>
        <v>28.05</v>
      </c>
      <c r="V84" s="261">
        <f t="shared" si="72"/>
        <v>0</v>
      </c>
      <c r="W84" s="263">
        <f t="shared" si="57"/>
        <v>20.170000000000002</v>
      </c>
      <c r="X84" s="261">
        <f>VLOOKUP($A84,[1]Planilha!$A$18:$BK$553,50,FALSE)</f>
        <v>20.170000000000002</v>
      </c>
      <c r="Y84" s="261">
        <f t="shared" si="73"/>
        <v>0</v>
      </c>
      <c r="Z84" s="263">
        <f t="shared" si="58"/>
        <v>27.88</v>
      </c>
      <c r="AA84" s="261">
        <f>VLOOKUP($A84,[1]Planilha!$A$18:$BK$553,58,FALSE)</f>
        <v>27.88</v>
      </c>
      <c r="AB84" s="261">
        <f t="shared" si="74"/>
        <v>0</v>
      </c>
      <c r="AC84" s="485">
        <v>19.02</v>
      </c>
      <c r="AD84" s="261">
        <f>VLOOKUP($A84,[1]Planilha!$A$18:$BK$553,49,FALSE)</f>
        <v>19.02</v>
      </c>
      <c r="AE84" s="261">
        <f t="shared" si="75"/>
        <v>0</v>
      </c>
      <c r="AF84" s="264">
        <f t="shared" si="60"/>
        <v>26.29</v>
      </c>
      <c r="AG84" s="261">
        <f>VLOOKUP($A84,[1]Planilha!$A$18:$BK$553,57,FALSE)</f>
        <v>26.29</v>
      </c>
      <c r="AH84" s="261">
        <f t="shared" si="76"/>
        <v>0</v>
      </c>
      <c r="AI84" s="376"/>
      <c r="AJ84" s="376"/>
      <c r="AK84" s="376"/>
      <c r="AL84" s="376"/>
      <c r="AM84" s="376"/>
      <c r="AN84" s="376"/>
      <c r="AO84" s="376"/>
      <c r="AP84" s="376"/>
      <c r="AQ84" s="376"/>
      <c r="AR84" s="376"/>
      <c r="AS84" s="376"/>
      <c r="AT84" s="376"/>
    </row>
    <row r="85" spans="1:46" s="124" customFormat="1">
      <c r="A85" s="233">
        <v>7891721015502</v>
      </c>
      <c r="B85" s="126">
        <v>1008903410029</v>
      </c>
      <c r="C85" s="122" t="s">
        <v>420</v>
      </c>
      <c r="D85" s="218" t="s">
        <v>625</v>
      </c>
      <c r="E85" s="271">
        <f>K85</f>
        <v>39.588804000000003</v>
      </c>
      <c r="F85" s="261">
        <f>VLOOKUP($A85,[1]Planilha!$A$18:$BK$553,54,FALSE)</f>
        <v>40.08</v>
      </c>
      <c r="G85" s="261">
        <f t="shared" si="66"/>
        <v>-0.49119599999999508</v>
      </c>
      <c r="H85" s="271">
        <f t="shared" si="79"/>
        <v>54.73</v>
      </c>
      <c r="I85" s="261">
        <f>VLOOKUP($A85,[1]Planilha!$A$18:$BK$553,62,FALSE)</f>
        <v>56.1</v>
      </c>
      <c r="J85" s="261">
        <f t="shared" si="68"/>
        <v>-1.3700000000000045</v>
      </c>
      <c r="K85" s="263">
        <f>VLOOKUP(A85,[2]Plan1!$H$2:$J$279,3,FALSE)</f>
        <v>39.588804000000003</v>
      </c>
      <c r="L85" s="261">
        <f>VLOOKUP($A85,[1]Planilha!$A$18:$BK$553,52,FALSE)</f>
        <v>39.590000000000003</v>
      </c>
      <c r="M85" s="261">
        <f t="shared" si="69"/>
        <v>-1.1960000000001969E-3</v>
      </c>
      <c r="N85" s="271">
        <f t="shared" si="80"/>
        <v>54.73</v>
      </c>
      <c r="O85" s="261">
        <f>VLOOKUP($A85,[1]Planilha!$A$18:$BK$553,60,FALSE)</f>
        <v>54.73</v>
      </c>
      <c r="P85" s="261">
        <f t="shared" si="70"/>
        <v>0</v>
      </c>
      <c r="Q85" s="271">
        <f t="shared" si="81"/>
        <v>39.35</v>
      </c>
      <c r="R85" s="261">
        <f>VLOOKUP($A85,[1]Planilha!$A$18:$BK$553,51,FALSE)</f>
        <v>39.35</v>
      </c>
      <c r="S85" s="261">
        <f t="shared" si="71"/>
        <v>0</v>
      </c>
      <c r="T85" s="271">
        <f t="shared" si="82"/>
        <v>54.4</v>
      </c>
      <c r="U85" s="261">
        <f>VLOOKUP($A85,[1]Planilha!$A$18:$BK$553,59,FALSE)</f>
        <v>54.4</v>
      </c>
      <c r="V85" s="261">
        <f t="shared" si="72"/>
        <v>0</v>
      </c>
      <c r="W85" s="271">
        <f t="shared" si="57"/>
        <v>39.11</v>
      </c>
      <c r="X85" s="261">
        <f>VLOOKUP($A85,[1]Planilha!$A$18:$BK$553,50,FALSE)</f>
        <v>39.11</v>
      </c>
      <c r="Y85" s="261">
        <f t="shared" si="73"/>
        <v>0</v>
      </c>
      <c r="Z85" s="271">
        <f t="shared" si="58"/>
        <v>54.07</v>
      </c>
      <c r="AA85" s="261">
        <f>VLOOKUP($A85,[1]Planilha!$A$18:$BK$553,58,FALSE)</f>
        <v>54.07</v>
      </c>
      <c r="AB85" s="261">
        <f t="shared" si="74"/>
        <v>0</v>
      </c>
      <c r="AC85" s="271">
        <f t="shared" si="59"/>
        <v>36.89</v>
      </c>
      <c r="AD85" s="261">
        <f>VLOOKUP($A85,[1]Planilha!$A$18:$BK$553,49,FALSE)</f>
        <v>36.89</v>
      </c>
      <c r="AE85" s="261">
        <f t="shared" si="75"/>
        <v>0</v>
      </c>
      <c r="AF85" s="272">
        <f t="shared" si="60"/>
        <v>51</v>
      </c>
      <c r="AG85" s="261">
        <f>VLOOKUP($A85,[1]Planilha!$A$18:$BK$553,57,FALSE)</f>
        <v>51</v>
      </c>
      <c r="AH85" s="261">
        <f t="shared" si="76"/>
        <v>0</v>
      </c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</row>
    <row r="86" spans="1:46" s="124" customFormat="1" ht="15">
      <c r="A86" s="414"/>
      <c r="B86" s="105" t="s">
        <v>370</v>
      </c>
      <c r="C86" s="105"/>
      <c r="D86" s="106"/>
      <c r="E86" s="186"/>
      <c r="F86" s="261" t="e">
        <f>VLOOKUP($A86,[1]Planilha!$A$18:$BK$553,54,FALSE)</f>
        <v>#N/A</v>
      </c>
      <c r="G86" s="261" t="e">
        <f t="shared" si="66"/>
        <v>#N/A</v>
      </c>
      <c r="H86" s="187"/>
      <c r="I86" s="261" t="e">
        <f>VLOOKUP($A86,[1]Planilha!$A$18:$BK$553,62,FALSE)</f>
        <v>#N/A</v>
      </c>
      <c r="J86" s="261" t="e">
        <f t="shared" si="68"/>
        <v>#N/A</v>
      </c>
      <c r="K86" s="186"/>
      <c r="L86" s="261" t="e">
        <f>VLOOKUP($A86,[1]Planilha!$A$18:$BK$553,52,FALSE)</f>
        <v>#N/A</v>
      </c>
      <c r="M86" s="261" t="e">
        <f t="shared" si="69"/>
        <v>#N/A</v>
      </c>
      <c r="N86" s="187"/>
      <c r="O86" s="261" t="e">
        <f>VLOOKUP($A86,[1]Planilha!$A$18:$BK$553,60,FALSE)</f>
        <v>#N/A</v>
      </c>
      <c r="P86" s="261" t="e">
        <f t="shared" si="70"/>
        <v>#N/A</v>
      </c>
      <c r="Q86" s="186"/>
      <c r="R86" s="261" t="e">
        <f>VLOOKUP($A86,[1]Planilha!$A$18:$BK$553,51,FALSE)</f>
        <v>#N/A</v>
      </c>
      <c r="S86" s="261" t="e">
        <f t="shared" si="71"/>
        <v>#N/A</v>
      </c>
      <c r="T86" s="187"/>
      <c r="U86" s="261" t="e">
        <f>VLOOKUP($A86,[1]Planilha!$A$18:$BK$553,59,FALSE)</f>
        <v>#N/A</v>
      </c>
      <c r="V86" s="261" t="e">
        <f t="shared" si="72"/>
        <v>#N/A</v>
      </c>
      <c r="W86" s="186"/>
      <c r="X86" s="261" t="e">
        <f>VLOOKUP($A86,[1]Planilha!$A$18:$BK$553,50,FALSE)</f>
        <v>#N/A</v>
      </c>
      <c r="Y86" s="261" t="e">
        <f t="shared" si="73"/>
        <v>#N/A</v>
      </c>
      <c r="Z86" s="187"/>
      <c r="AA86" s="261" t="e">
        <f>VLOOKUP($A86,[1]Planilha!$A$18:$BK$553,58,FALSE)</f>
        <v>#N/A</v>
      </c>
      <c r="AB86" s="261" t="e">
        <f t="shared" si="74"/>
        <v>#N/A</v>
      </c>
      <c r="AC86" s="186"/>
      <c r="AD86" s="261" t="e">
        <f>VLOOKUP($A86,[1]Planilha!$A$18:$BK$553,49,FALSE)</f>
        <v>#N/A</v>
      </c>
      <c r="AE86" s="261" t="e">
        <f t="shared" si="75"/>
        <v>#N/A</v>
      </c>
      <c r="AF86" s="190"/>
      <c r="AG86" s="261" t="e">
        <f>VLOOKUP($A86,[1]Planilha!$A$18:$BK$553,57,FALSE)</f>
        <v>#N/A</v>
      </c>
      <c r="AH86" s="261" t="e">
        <f t="shared" si="76"/>
        <v>#N/A</v>
      </c>
      <c r="AI86" s="376"/>
      <c r="AJ86" s="376"/>
      <c r="AK86" s="376"/>
      <c r="AL86" s="376"/>
      <c r="AM86" s="376"/>
      <c r="AN86" s="376"/>
      <c r="AO86" s="376"/>
      <c r="AP86" s="376"/>
      <c r="AQ86" s="376"/>
      <c r="AR86" s="376"/>
      <c r="AS86" s="376"/>
      <c r="AT86" s="376"/>
    </row>
    <row r="87" spans="1:46" s="124" customFormat="1">
      <c r="A87" s="233">
        <v>7891721027468</v>
      </c>
      <c r="B87" s="126">
        <v>1008903400031</v>
      </c>
      <c r="C87" s="117" t="s">
        <v>666</v>
      </c>
      <c r="D87" s="218" t="s">
        <v>697</v>
      </c>
      <c r="E87" s="263">
        <f>K87</f>
        <v>10.1</v>
      </c>
      <c r="F87" s="261">
        <f>VLOOKUP($A87,[1]Planilha!$A$18:$BK$553,54,FALSE)</f>
        <v>10.36</v>
      </c>
      <c r="G87" s="261">
        <f t="shared" si="66"/>
        <v>-0.25999999999999979</v>
      </c>
      <c r="H87" s="263">
        <f>N87</f>
        <v>13.96</v>
      </c>
      <c r="I87" s="261">
        <f>VLOOKUP($A87,[1]Planilha!$A$18:$BK$553,62,FALSE)</f>
        <v>14.5</v>
      </c>
      <c r="J87" s="261">
        <f t="shared" si="68"/>
        <v>-0.53999999999999915</v>
      </c>
      <c r="K87" s="263">
        <v>10.1</v>
      </c>
      <c r="L87" s="261">
        <f>VLOOKUP($A87,[1]Planilha!$A$18:$BK$553,52,FALSE)</f>
        <v>10.24</v>
      </c>
      <c r="M87" s="261">
        <f t="shared" si="69"/>
        <v>-0.14000000000000057</v>
      </c>
      <c r="N87" s="263">
        <f t="shared" ref="N87:N91" si="83">ROUND(K87/0.723358,2)</f>
        <v>13.96</v>
      </c>
      <c r="O87" s="261">
        <f>VLOOKUP($A87,[1]Planilha!$A$18:$BK$553,60,FALSE)</f>
        <v>14.15</v>
      </c>
      <c r="P87" s="261">
        <f t="shared" si="70"/>
        <v>-0.1899999999999995</v>
      </c>
      <c r="Q87" s="271">
        <f t="shared" si="81"/>
        <v>10.039999999999999</v>
      </c>
      <c r="R87" s="261">
        <f>VLOOKUP($A87,[1]Planilha!$A$18:$BK$553,51,FALSE)</f>
        <v>10.17</v>
      </c>
      <c r="S87" s="261">
        <f t="shared" si="71"/>
        <v>-0.13000000000000078</v>
      </c>
      <c r="T87" s="263">
        <f t="shared" ref="T87:T91" si="84">ROUND(Q87/0.723358,2)</f>
        <v>13.88</v>
      </c>
      <c r="U87" s="261">
        <f>VLOOKUP($A87,[1]Planilha!$A$18:$BK$553,59,FALSE)</f>
        <v>14.06</v>
      </c>
      <c r="V87" s="261">
        <f t="shared" si="72"/>
        <v>-0.17999999999999972</v>
      </c>
      <c r="W87" s="263">
        <f t="shared" si="57"/>
        <v>9.98</v>
      </c>
      <c r="X87" s="261">
        <f>VLOOKUP($A87,[1]Planilha!$A$18:$BK$553,50,FALSE)</f>
        <v>10.11</v>
      </c>
      <c r="Y87" s="261">
        <f t="shared" si="73"/>
        <v>-0.12999999999999901</v>
      </c>
      <c r="Z87" s="263">
        <f t="shared" si="58"/>
        <v>13.8</v>
      </c>
      <c r="AA87" s="261">
        <f>VLOOKUP($A87,[1]Planilha!$A$18:$BK$553,58,FALSE)</f>
        <v>13.98</v>
      </c>
      <c r="AB87" s="261">
        <f t="shared" si="74"/>
        <v>-0.17999999999999972</v>
      </c>
      <c r="AC87" s="263">
        <f t="shared" si="59"/>
        <v>9.41</v>
      </c>
      <c r="AD87" s="261">
        <f>VLOOKUP($A87,[1]Planilha!$A$18:$BK$553,49,FALSE)</f>
        <v>9.5399999999999991</v>
      </c>
      <c r="AE87" s="261">
        <f t="shared" si="75"/>
        <v>-0.12999999999999901</v>
      </c>
      <c r="AF87" s="264">
        <f t="shared" si="60"/>
        <v>13.01</v>
      </c>
      <c r="AG87" s="261">
        <f>VLOOKUP($A87,[1]Planilha!$A$18:$BK$553,57,FALSE)</f>
        <v>13.19</v>
      </c>
      <c r="AH87" s="261">
        <f t="shared" si="76"/>
        <v>-0.17999999999999972</v>
      </c>
      <c r="AI87" s="376"/>
      <c r="AJ87" s="376"/>
      <c r="AK87" s="376"/>
      <c r="AL87" s="376"/>
      <c r="AM87" s="376"/>
      <c r="AN87" s="376"/>
      <c r="AO87" s="376"/>
      <c r="AP87" s="376"/>
      <c r="AQ87" s="376"/>
      <c r="AR87" s="376"/>
      <c r="AS87" s="376"/>
      <c r="AT87" s="376"/>
    </row>
    <row r="88" spans="1:46" s="124" customFormat="1">
      <c r="A88" s="232">
        <v>7891721027444</v>
      </c>
      <c r="B88" s="126">
        <v>1008903400090</v>
      </c>
      <c r="C88" s="126" t="s">
        <v>668</v>
      </c>
      <c r="D88" s="214" t="s">
        <v>555</v>
      </c>
      <c r="E88" s="267">
        <f t="shared" ref="E88:E91" si="85">ROUND(K88*1.025,2)</f>
        <v>6.94</v>
      </c>
      <c r="F88" s="261">
        <f>VLOOKUP($A88,[1]Planilha!$A$18:$BK$553,54,FALSE)</f>
        <v>6.85</v>
      </c>
      <c r="G88" s="261">
        <f t="shared" si="66"/>
        <v>9.0000000000000746E-2</v>
      </c>
      <c r="H88" s="267">
        <f t="shared" ref="H88:H91" si="86">ROUND(E88/0.723358,2)</f>
        <v>9.59</v>
      </c>
      <c r="I88" s="261">
        <f>VLOOKUP($A88,[1]Planilha!$A$18:$BK$553,62,FALSE)</f>
        <v>9.59</v>
      </c>
      <c r="J88" s="261">
        <f t="shared" si="68"/>
        <v>0</v>
      </c>
      <c r="K88" s="263">
        <f>VLOOKUP(A88,[2]Plan1!$H$2:$J$279,3,FALSE)</f>
        <v>6.770848</v>
      </c>
      <c r="L88" s="261">
        <f>VLOOKUP($A88,[1]Planilha!$A$18:$BK$553,52,FALSE)</f>
        <v>6.77</v>
      </c>
      <c r="M88" s="261">
        <f t="shared" si="69"/>
        <v>8.4800000000040399E-4</v>
      </c>
      <c r="N88" s="267">
        <f t="shared" si="83"/>
        <v>9.36</v>
      </c>
      <c r="O88" s="261">
        <f>VLOOKUP($A88,[1]Planilha!$A$18:$BK$553,60,FALSE)</f>
        <v>9.36</v>
      </c>
      <c r="P88" s="261">
        <f t="shared" si="70"/>
        <v>0</v>
      </c>
      <c r="Q88" s="267">
        <f t="shared" ref="Q88:Q91" si="87">ROUND(K88*0.993939,2)</f>
        <v>6.73</v>
      </c>
      <c r="R88" s="261">
        <f>VLOOKUP($A88,[1]Planilha!$A$18:$BK$553,51,FALSE)</f>
        <v>6.73</v>
      </c>
      <c r="S88" s="261">
        <f t="shared" si="71"/>
        <v>0</v>
      </c>
      <c r="T88" s="267">
        <f t="shared" si="84"/>
        <v>9.3000000000000007</v>
      </c>
      <c r="U88" s="261">
        <f>VLOOKUP($A88,[1]Planilha!$A$18:$BK$553,59,FALSE)</f>
        <v>9.3000000000000007</v>
      </c>
      <c r="V88" s="261">
        <f t="shared" si="72"/>
        <v>0</v>
      </c>
      <c r="W88" s="267">
        <f t="shared" si="57"/>
        <v>6.69</v>
      </c>
      <c r="X88" s="261">
        <f>VLOOKUP($A88,[1]Planilha!$A$18:$BK$553,50,FALSE)</f>
        <v>6.69</v>
      </c>
      <c r="Y88" s="261">
        <f t="shared" si="73"/>
        <v>0</v>
      </c>
      <c r="Z88" s="267">
        <f t="shared" si="58"/>
        <v>9.25</v>
      </c>
      <c r="AA88" s="261">
        <f>VLOOKUP($A88,[1]Planilha!$A$18:$BK$553,58,FALSE)</f>
        <v>9.25</v>
      </c>
      <c r="AB88" s="261">
        <f t="shared" si="74"/>
        <v>0</v>
      </c>
      <c r="AC88" s="267">
        <f t="shared" si="59"/>
        <v>6.31</v>
      </c>
      <c r="AD88" s="261">
        <f>VLOOKUP($A88,[1]Planilha!$A$18:$BK$553,49,FALSE)</f>
        <v>6.31</v>
      </c>
      <c r="AE88" s="261">
        <f t="shared" si="75"/>
        <v>0</v>
      </c>
      <c r="AF88" s="268">
        <f t="shared" si="60"/>
        <v>8.7200000000000006</v>
      </c>
      <c r="AG88" s="261">
        <f>VLOOKUP($A88,[1]Planilha!$A$18:$BK$553,57,FALSE)</f>
        <v>8.7200000000000006</v>
      </c>
      <c r="AH88" s="261">
        <f t="shared" si="76"/>
        <v>0</v>
      </c>
      <c r="AI88" s="376"/>
      <c r="AJ88" s="376"/>
      <c r="AK88" s="376"/>
      <c r="AL88" s="376"/>
      <c r="AM88" s="376"/>
      <c r="AN88" s="376"/>
      <c r="AO88" s="376"/>
      <c r="AP88" s="376"/>
      <c r="AQ88" s="376"/>
      <c r="AR88" s="376"/>
      <c r="AS88" s="376"/>
      <c r="AT88" s="376"/>
    </row>
    <row r="89" spans="1:46" s="124" customFormat="1">
      <c r="A89" s="232">
        <v>7891721027451</v>
      </c>
      <c r="B89" s="126">
        <v>1008903400120</v>
      </c>
      <c r="C89" s="126" t="s">
        <v>667</v>
      </c>
      <c r="D89" s="214" t="s">
        <v>556</v>
      </c>
      <c r="E89" s="267">
        <f t="shared" si="85"/>
        <v>20.82</v>
      </c>
      <c r="F89" s="261">
        <f>VLOOKUP($A89,[1]Planilha!$A$18:$BK$553,54,FALSE)</f>
        <v>20.56</v>
      </c>
      <c r="G89" s="261">
        <f t="shared" si="66"/>
        <v>0.26000000000000156</v>
      </c>
      <c r="H89" s="267">
        <f t="shared" si="86"/>
        <v>28.78</v>
      </c>
      <c r="I89" s="261">
        <f>VLOOKUP($A89,[1]Planilha!$A$18:$BK$553,62,FALSE)</f>
        <v>28.78</v>
      </c>
      <c r="J89" s="261">
        <f t="shared" si="68"/>
        <v>0</v>
      </c>
      <c r="K89" s="263">
        <f>VLOOKUP(A89,[2]Plan1!$H$2:$J$279,3,FALSE)</f>
        <v>20.312543999999999</v>
      </c>
      <c r="L89" s="261">
        <f>VLOOKUP($A89,[1]Planilha!$A$18:$BK$553,52,FALSE)</f>
        <v>20.309999999999999</v>
      </c>
      <c r="M89" s="261">
        <f t="shared" si="69"/>
        <v>2.5440000000003238E-3</v>
      </c>
      <c r="N89" s="267">
        <f t="shared" si="83"/>
        <v>28.08</v>
      </c>
      <c r="O89" s="261">
        <f>VLOOKUP($A89,[1]Planilha!$A$18:$BK$553,60,FALSE)</f>
        <v>28.08</v>
      </c>
      <c r="P89" s="261">
        <f t="shared" si="70"/>
        <v>0</v>
      </c>
      <c r="Q89" s="267">
        <f t="shared" si="87"/>
        <v>20.190000000000001</v>
      </c>
      <c r="R89" s="261">
        <f>VLOOKUP($A89,[1]Planilha!$A$18:$BK$553,51,FALSE)</f>
        <v>20.190000000000001</v>
      </c>
      <c r="S89" s="261">
        <f t="shared" si="71"/>
        <v>0</v>
      </c>
      <c r="T89" s="267">
        <f t="shared" si="84"/>
        <v>27.91</v>
      </c>
      <c r="U89" s="261">
        <f>VLOOKUP($A89,[1]Planilha!$A$18:$BK$553,59,FALSE)</f>
        <v>27.91</v>
      </c>
      <c r="V89" s="261">
        <f t="shared" si="72"/>
        <v>0</v>
      </c>
      <c r="W89" s="267">
        <f t="shared" si="57"/>
        <v>20.07</v>
      </c>
      <c r="X89" s="261">
        <f>VLOOKUP($A89,[1]Planilha!$A$18:$BK$553,50,FALSE)</f>
        <v>20.07</v>
      </c>
      <c r="Y89" s="261">
        <f t="shared" si="73"/>
        <v>0</v>
      </c>
      <c r="Z89" s="267">
        <f t="shared" si="58"/>
        <v>27.75</v>
      </c>
      <c r="AA89" s="261">
        <f>VLOOKUP($A89,[1]Planilha!$A$18:$BK$553,58,FALSE)</f>
        <v>27.75</v>
      </c>
      <c r="AB89" s="261">
        <f t="shared" si="74"/>
        <v>0</v>
      </c>
      <c r="AC89" s="267">
        <f t="shared" si="59"/>
        <v>18.93</v>
      </c>
      <c r="AD89" s="261">
        <f>VLOOKUP($A89,[1]Planilha!$A$18:$BK$553,49,FALSE)</f>
        <v>18.93</v>
      </c>
      <c r="AE89" s="261">
        <f t="shared" si="75"/>
        <v>0</v>
      </c>
      <c r="AF89" s="268">
        <f t="shared" si="60"/>
        <v>26.17</v>
      </c>
      <c r="AG89" s="261">
        <f>VLOOKUP($A89,[1]Planilha!$A$18:$BK$553,57,FALSE)</f>
        <v>26.17</v>
      </c>
      <c r="AH89" s="261">
        <f t="shared" si="76"/>
        <v>0</v>
      </c>
      <c r="AI89" s="376"/>
      <c r="AJ89" s="376"/>
      <c r="AK89" s="376"/>
      <c r="AL89" s="376"/>
      <c r="AM89" s="376"/>
      <c r="AN89" s="376"/>
      <c r="AO89" s="376"/>
      <c r="AP89" s="376"/>
      <c r="AQ89" s="376"/>
      <c r="AR89" s="376"/>
      <c r="AS89" s="376"/>
      <c r="AT89" s="376"/>
    </row>
    <row r="90" spans="1:46" s="124" customFormat="1">
      <c r="A90" s="232">
        <v>7891721022562</v>
      </c>
      <c r="B90" s="126">
        <v>1008903400171</v>
      </c>
      <c r="C90" s="126" t="s">
        <v>591</v>
      </c>
      <c r="D90" s="214" t="s">
        <v>593</v>
      </c>
      <c r="E90" s="403">
        <f t="shared" si="85"/>
        <v>9.64</v>
      </c>
      <c r="F90" s="261">
        <f>VLOOKUP($A90,[1]Planilha!$A$18:$BK$553,54,FALSE)</f>
        <v>9.3800000000000008</v>
      </c>
      <c r="G90" s="261">
        <f t="shared" si="66"/>
        <v>0.25999999999999979</v>
      </c>
      <c r="H90" s="267">
        <f t="shared" si="86"/>
        <v>13.33</v>
      </c>
      <c r="I90" s="261">
        <f>VLOOKUP($A90,[1]Planilha!$A$18:$BK$553,62,FALSE)</f>
        <v>13.13</v>
      </c>
      <c r="J90" s="261">
        <f t="shared" si="68"/>
        <v>0.19999999999999929</v>
      </c>
      <c r="K90" s="273">
        <v>9.4</v>
      </c>
      <c r="L90" s="261">
        <f>VLOOKUP($A90,[1]Planilha!$A$18:$BK$553,52,FALSE)</f>
        <v>9.27</v>
      </c>
      <c r="M90" s="261">
        <f t="shared" si="69"/>
        <v>0.13000000000000078</v>
      </c>
      <c r="N90" s="267">
        <f t="shared" si="83"/>
        <v>12.99</v>
      </c>
      <c r="O90" s="261">
        <f>VLOOKUP($A90,[1]Planilha!$A$18:$BK$553,60,FALSE)</f>
        <v>12.82</v>
      </c>
      <c r="P90" s="261">
        <f t="shared" si="70"/>
        <v>0.16999999999999993</v>
      </c>
      <c r="Q90" s="403">
        <f t="shared" si="87"/>
        <v>9.34</v>
      </c>
      <c r="R90" s="261">
        <f>VLOOKUP($A90,[1]Planilha!$A$18:$BK$553,51,FALSE)</f>
        <v>9.2100000000000009</v>
      </c>
      <c r="S90" s="261">
        <f t="shared" si="71"/>
        <v>0.12999999999999901</v>
      </c>
      <c r="T90" s="267">
        <f t="shared" si="84"/>
        <v>12.91</v>
      </c>
      <c r="U90" s="261">
        <f>VLOOKUP($A90,[1]Planilha!$A$18:$BK$553,59,FALSE)</f>
        <v>12.73</v>
      </c>
      <c r="V90" s="261">
        <f t="shared" si="72"/>
        <v>0.17999999999999972</v>
      </c>
      <c r="W90" s="484">
        <v>9.2799999999999994</v>
      </c>
      <c r="X90" s="261">
        <f>VLOOKUP($A90,[1]Planilha!$A$18:$BK$553,50,FALSE)</f>
        <v>9.16</v>
      </c>
      <c r="Y90" s="261">
        <f t="shared" si="73"/>
        <v>0.11999999999999922</v>
      </c>
      <c r="Z90" s="267">
        <f t="shared" si="58"/>
        <v>12.83</v>
      </c>
      <c r="AA90" s="261">
        <f>VLOOKUP($A90,[1]Planilha!$A$18:$BK$553,58,FALSE)</f>
        <v>12.66</v>
      </c>
      <c r="AB90" s="261">
        <f t="shared" si="74"/>
        <v>0.16999999999999993</v>
      </c>
      <c r="AC90" s="403">
        <f t="shared" si="59"/>
        <v>8.76</v>
      </c>
      <c r="AD90" s="261">
        <f>VLOOKUP($A90,[1]Planilha!$A$18:$BK$553,49,FALSE)</f>
        <v>8.64</v>
      </c>
      <c r="AE90" s="261">
        <f t="shared" si="75"/>
        <v>0.11999999999999922</v>
      </c>
      <c r="AF90" s="268">
        <f t="shared" si="60"/>
        <v>12.11</v>
      </c>
      <c r="AG90" s="261">
        <f>VLOOKUP($A90,[1]Planilha!$A$18:$BK$553,57,FALSE)</f>
        <v>11.94</v>
      </c>
      <c r="AH90" s="261">
        <f t="shared" si="76"/>
        <v>0.16999999999999993</v>
      </c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</row>
    <row r="91" spans="1:46" s="124" customFormat="1">
      <c r="A91" s="232">
        <v>7891721022579</v>
      </c>
      <c r="B91" s="126">
        <v>1008903400181</v>
      </c>
      <c r="C91" s="128" t="s">
        <v>590</v>
      </c>
      <c r="D91" s="214" t="s">
        <v>594</v>
      </c>
      <c r="E91" s="269">
        <f t="shared" si="85"/>
        <v>28.92</v>
      </c>
      <c r="F91" s="261">
        <f>VLOOKUP($A91,[1]Planilha!$A$18:$BK$553,54,FALSE)</f>
        <v>28.57</v>
      </c>
      <c r="G91" s="261">
        <f t="shared" si="66"/>
        <v>0.35000000000000142</v>
      </c>
      <c r="H91" s="269">
        <f t="shared" si="86"/>
        <v>39.979999999999997</v>
      </c>
      <c r="I91" s="261">
        <f>VLOOKUP($A91,[1]Planilha!$A$18:$BK$553,62,FALSE)</f>
        <v>39.979999999999997</v>
      </c>
      <c r="J91" s="261">
        <f t="shared" si="68"/>
        <v>0</v>
      </c>
      <c r="K91" s="263">
        <f>VLOOKUP(A91,[2]Plan1!$H$2:$J$279,3,FALSE)</f>
        <v>28.218624000000002</v>
      </c>
      <c r="L91" s="261">
        <f>VLOOKUP($A91,[1]Planilha!$A$18:$BK$553,52,FALSE)</f>
        <v>28.22</v>
      </c>
      <c r="M91" s="261">
        <f t="shared" si="69"/>
        <v>-1.3759999999969352E-3</v>
      </c>
      <c r="N91" s="269">
        <f t="shared" si="83"/>
        <v>39.01</v>
      </c>
      <c r="O91" s="261">
        <f>VLOOKUP($A91,[1]Planilha!$A$18:$BK$553,60,FALSE)</f>
        <v>39.01</v>
      </c>
      <c r="P91" s="261">
        <f t="shared" si="70"/>
        <v>0</v>
      </c>
      <c r="Q91" s="269">
        <f t="shared" si="87"/>
        <v>28.05</v>
      </c>
      <c r="R91" s="261">
        <f>VLOOKUP($A91,[1]Planilha!$A$18:$BK$553,51,FALSE)</f>
        <v>28.05</v>
      </c>
      <c r="S91" s="261">
        <f t="shared" si="71"/>
        <v>0</v>
      </c>
      <c r="T91" s="269">
        <f t="shared" si="84"/>
        <v>38.78</v>
      </c>
      <c r="U91" s="261">
        <f>VLOOKUP($A91,[1]Planilha!$A$18:$BK$553,59,FALSE)</f>
        <v>38.78</v>
      </c>
      <c r="V91" s="261">
        <f t="shared" si="72"/>
        <v>0</v>
      </c>
      <c r="W91" s="269">
        <f t="shared" si="57"/>
        <v>27.88</v>
      </c>
      <c r="X91" s="261">
        <f>VLOOKUP($A91,[1]Planilha!$A$18:$BK$553,50,FALSE)</f>
        <v>27.88</v>
      </c>
      <c r="Y91" s="261">
        <f t="shared" si="73"/>
        <v>0</v>
      </c>
      <c r="Z91" s="269">
        <f t="shared" si="58"/>
        <v>38.54</v>
      </c>
      <c r="AA91" s="261">
        <f>VLOOKUP($A91,[1]Planilha!$A$18:$BK$553,58,FALSE)</f>
        <v>38.54</v>
      </c>
      <c r="AB91" s="261">
        <f t="shared" si="74"/>
        <v>0</v>
      </c>
      <c r="AC91" s="269">
        <f t="shared" si="59"/>
        <v>26.29</v>
      </c>
      <c r="AD91" s="261">
        <f>VLOOKUP($A91,[1]Planilha!$A$18:$BK$553,49,FALSE)</f>
        <v>26.29</v>
      </c>
      <c r="AE91" s="261">
        <f t="shared" si="75"/>
        <v>0</v>
      </c>
      <c r="AF91" s="270">
        <f t="shared" si="60"/>
        <v>36.340000000000003</v>
      </c>
      <c r="AG91" s="261">
        <f>VLOOKUP($A91,[1]Planilha!$A$18:$BK$553,57,FALSE)</f>
        <v>36.340000000000003</v>
      </c>
      <c r="AH91" s="261">
        <f t="shared" si="76"/>
        <v>0</v>
      </c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</row>
    <row r="92" spans="1:46" s="124" customFormat="1" ht="15">
      <c r="A92" s="414"/>
      <c r="B92" s="105" t="s">
        <v>309</v>
      </c>
      <c r="C92" s="105"/>
      <c r="D92" s="106"/>
      <c r="E92" s="188"/>
      <c r="F92" s="261" t="e">
        <f>VLOOKUP($A92,[1]Planilha!$A$18:$BK$553,54,FALSE)</f>
        <v>#N/A</v>
      </c>
      <c r="G92" s="261" t="e">
        <f t="shared" si="66"/>
        <v>#N/A</v>
      </c>
      <c r="H92" s="189"/>
      <c r="I92" s="261" t="e">
        <f>VLOOKUP($A92,[1]Planilha!$A$18:$BK$553,62,FALSE)</f>
        <v>#N/A</v>
      </c>
      <c r="J92" s="261" t="e">
        <f t="shared" si="68"/>
        <v>#N/A</v>
      </c>
      <c r="K92" s="188"/>
      <c r="L92" s="261" t="e">
        <f>VLOOKUP($A92,[1]Planilha!$A$18:$BK$553,52,FALSE)</f>
        <v>#N/A</v>
      </c>
      <c r="M92" s="261" t="e">
        <f t="shared" si="69"/>
        <v>#N/A</v>
      </c>
      <c r="N92" s="189"/>
      <c r="O92" s="261" t="e">
        <f>VLOOKUP($A92,[1]Planilha!$A$18:$BK$553,60,FALSE)</f>
        <v>#N/A</v>
      </c>
      <c r="P92" s="261" t="e">
        <f t="shared" si="70"/>
        <v>#N/A</v>
      </c>
      <c r="Q92" s="188"/>
      <c r="R92" s="261" t="e">
        <f>VLOOKUP($A92,[1]Planilha!$A$18:$BK$553,51,FALSE)</f>
        <v>#N/A</v>
      </c>
      <c r="S92" s="261" t="e">
        <f t="shared" si="71"/>
        <v>#N/A</v>
      </c>
      <c r="T92" s="189"/>
      <c r="U92" s="261" t="e">
        <f>VLOOKUP($A92,[1]Planilha!$A$18:$BK$553,59,FALSE)</f>
        <v>#N/A</v>
      </c>
      <c r="V92" s="261" t="e">
        <f t="shared" si="72"/>
        <v>#N/A</v>
      </c>
      <c r="W92" s="188"/>
      <c r="X92" s="261" t="e">
        <f>VLOOKUP($A92,[1]Planilha!$A$18:$BK$553,50,FALSE)</f>
        <v>#N/A</v>
      </c>
      <c r="Y92" s="261" t="e">
        <f t="shared" si="73"/>
        <v>#N/A</v>
      </c>
      <c r="Z92" s="189"/>
      <c r="AA92" s="261" t="e">
        <f>VLOOKUP($A92,[1]Planilha!$A$18:$BK$553,58,FALSE)</f>
        <v>#N/A</v>
      </c>
      <c r="AB92" s="261" t="e">
        <f t="shared" si="74"/>
        <v>#N/A</v>
      </c>
      <c r="AC92" s="188"/>
      <c r="AD92" s="261" t="e">
        <f>VLOOKUP($A92,[1]Planilha!$A$18:$BK$553,49,FALSE)</f>
        <v>#N/A</v>
      </c>
      <c r="AE92" s="261" t="e">
        <f t="shared" si="75"/>
        <v>#N/A</v>
      </c>
      <c r="AF92" s="191"/>
      <c r="AG92" s="261" t="e">
        <f>VLOOKUP($A92,[1]Planilha!$A$18:$BK$553,57,FALSE)</f>
        <v>#N/A</v>
      </c>
      <c r="AH92" s="261" t="e">
        <f t="shared" si="76"/>
        <v>#N/A</v>
      </c>
      <c r="AI92" s="376"/>
      <c r="AJ92" s="376"/>
      <c r="AK92" s="376"/>
      <c r="AL92" s="376"/>
      <c r="AM92" s="376"/>
      <c r="AN92" s="376"/>
      <c r="AO92" s="376"/>
      <c r="AP92" s="376"/>
      <c r="AQ92" s="376"/>
      <c r="AR92" s="376"/>
      <c r="AS92" s="376"/>
      <c r="AT92" s="376"/>
    </row>
    <row r="93" spans="1:46" s="124" customFormat="1">
      <c r="A93" s="232">
        <v>7891721000614</v>
      </c>
      <c r="B93" s="126">
        <v>1008901930025</v>
      </c>
      <c r="C93" s="117" t="s">
        <v>399</v>
      </c>
      <c r="D93" s="92" t="s">
        <v>680</v>
      </c>
      <c r="E93" s="265">
        <f>K93</f>
        <v>14.920192000000002</v>
      </c>
      <c r="F93" s="261">
        <f>VLOOKUP($A93,[1]Planilha!$A$18:$BK$553,54,FALSE)</f>
        <v>15.1</v>
      </c>
      <c r="G93" s="261">
        <f t="shared" si="66"/>
        <v>-0.17980799999999775</v>
      </c>
      <c r="H93" s="265">
        <f t="shared" ref="H93:H94" si="88">N93</f>
        <v>20.63</v>
      </c>
      <c r="I93" s="261">
        <f>VLOOKUP($A93,[1]Planilha!$A$18:$BK$553,62,FALSE)</f>
        <v>21.14</v>
      </c>
      <c r="J93" s="261">
        <f t="shared" si="68"/>
        <v>-0.51000000000000156</v>
      </c>
      <c r="K93" s="265">
        <f>VLOOKUP(A93,[2]Plan1!$H$2:$J$279,3,FALSE)</f>
        <v>14.920192000000002</v>
      </c>
      <c r="L93" s="261">
        <f>VLOOKUP($A93,[1]Planilha!$A$18:$BK$553,52,FALSE)</f>
        <v>14.92</v>
      </c>
      <c r="M93" s="261">
        <f t="shared" si="69"/>
        <v>1.9200000000196837E-4</v>
      </c>
      <c r="N93" s="265">
        <f>ROUND(K93/0.723358,2)</f>
        <v>20.63</v>
      </c>
      <c r="O93" s="261">
        <f>VLOOKUP($A93,[1]Planilha!$A$18:$BK$553,60,FALSE)</f>
        <v>20.63</v>
      </c>
      <c r="P93" s="261">
        <f t="shared" si="70"/>
        <v>0</v>
      </c>
      <c r="Q93" s="265">
        <f t="shared" ref="Q93:Q95" si="89">ROUND(K93*0.993939,2)</f>
        <v>14.83</v>
      </c>
      <c r="R93" s="261">
        <f>VLOOKUP($A93,[1]Planilha!$A$18:$BK$553,51,FALSE)</f>
        <v>14.83</v>
      </c>
      <c r="S93" s="261">
        <f t="shared" si="71"/>
        <v>0</v>
      </c>
      <c r="T93" s="265">
        <f t="shared" ref="T93:T95" si="90">ROUND(Q93/0.723358,2)</f>
        <v>20.5</v>
      </c>
      <c r="U93" s="261">
        <f>VLOOKUP($A93,[1]Planilha!$A$18:$BK$553,59,FALSE)</f>
        <v>20.5</v>
      </c>
      <c r="V93" s="261">
        <f t="shared" si="72"/>
        <v>0</v>
      </c>
      <c r="W93" s="265">
        <f t="shared" si="57"/>
        <v>14.74</v>
      </c>
      <c r="X93" s="261">
        <f>VLOOKUP($A93,[1]Planilha!$A$18:$BK$553,50,FALSE)</f>
        <v>14.74</v>
      </c>
      <c r="Y93" s="261">
        <f t="shared" si="73"/>
        <v>0</v>
      </c>
      <c r="Z93" s="265">
        <f t="shared" si="58"/>
        <v>20.38</v>
      </c>
      <c r="AA93" s="261">
        <f>VLOOKUP($A93,[1]Planilha!$A$18:$BK$553,58,FALSE)</f>
        <v>20.38</v>
      </c>
      <c r="AB93" s="261">
        <f t="shared" si="74"/>
        <v>0</v>
      </c>
      <c r="AC93" s="265">
        <f t="shared" si="59"/>
        <v>13.9</v>
      </c>
      <c r="AD93" s="261">
        <f>VLOOKUP($A93,[1]Planilha!$A$18:$BK$553,49,FALSE)</f>
        <v>13.9</v>
      </c>
      <c r="AE93" s="261">
        <f t="shared" si="75"/>
        <v>0</v>
      </c>
      <c r="AF93" s="266">
        <f t="shared" si="60"/>
        <v>19.22</v>
      </c>
      <c r="AG93" s="261">
        <f>VLOOKUP($A93,[1]Planilha!$A$18:$BK$553,57,FALSE)</f>
        <v>19.22</v>
      </c>
      <c r="AH93" s="261">
        <f t="shared" si="76"/>
        <v>0</v>
      </c>
      <c r="AI93" s="376"/>
      <c r="AJ93" s="376"/>
      <c r="AK93" s="376"/>
      <c r="AL93" s="376"/>
      <c r="AM93" s="376"/>
      <c r="AN93" s="376"/>
      <c r="AO93" s="376"/>
      <c r="AP93" s="376"/>
      <c r="AQ93" s="376"/>
      <c r="AR93" s="376"/>
      <c r="AS93" s="376"/>
      <c r="AT93" s="376"/>
    </row>
    <row r="94" spans="1:46" s="124" customFormat="1">
      <c r="A94" s="232">
        <v>7891721027437</v>
      </c>
      <c r="B94" s="126" t="s">
        <v>21</v>
      </c>
      <c r="C94" s="121" t="s">
        <v>665</v>
      </c>
      <c r="D94" s="92" t="s">
        <v>698</v>
      </c>
      <c r="E94" s="267">
        <f>K94</f>
        <v>20.038872000000001</v>
      </c>
      <c r="F94" s="261">
        <f>VLOOKUP($A94,[1]Planilha!$A$18:$BK$553,54,FALSE)</f>
        <v>20.29</v>
      </c>
      <c r="G94" s="261">
        <f t="shared" si="66"/>
        <v>-0.2511279999999978</v>
      </c>
      <c r="H94" s="267">
        <f t="shared" si="88"/>
        <v>27.7</v>
      </c>
      <c r="I94" s="261">
        <f>VLOOKUP($A94,[1]Planilha!$A$18:$BK$553,62,FALSE)</f>
        <v>28.4</v>
      </c>
      <c r="J94" s="261">
        <f t="shared" si="68"/>
        <v>-0.69999999999999929</v>
      </c>
      <c r="K94" s="265">
        <f>VLOOKUP(A94,[2]Plan1!$H$2:$J$279,3,FALSE)</f>
        <v>20.038872000000001</v>
      </c>
      <c r="L94" s="261">
        <f>VLOOKUP($A94,[1]Planilha!$A$18:$BK$553,52,FALSE)</f>
        <v>20.04</v>
      </c>
      <c r="M94" s="261">
        <f t="shared" si="69"/>
        <v>-1.1279999999977974E-3</v>
      </c>
      <c r="N94" s="267">
        <f t="shared" ref="N94" si="91">ROUND(K94/0.723358,2)</f>
        <v>27.7</v>
      </c>
      <c r="O94" s="261">
        <f>VLOOKUP($A94,[1]Planilha!$A$18:$BK$553,60,FALSE)</f>
        <v>27.7</v>
      </c>
      <c r="P94" s="261">
        <f t="shared" si="70"/>
        <v>0</v>
      </c>
      <c r="Q94" s="267">
        <f t="shared" si="89"/>
        <v>19.920000000000002</v>
      </c>
      <c r="R94" s="261">
        <f>VLOOKUP($A94,[1]Planilha!$A$18:$BK$553,51,FALSE)</f>
        <v>19.920000000000002</v>
      </c>
      <c r="S94" s="261">
        <f t="shared" si="71"/>
        <v>0</v>
      </c>
      <c r="T94" s="267">
        <f t="shared" si="90"/>
        <v>27.54</v>
      </c>
      <c r="U94" s="261">
        <f>VLOOKUP($A94,[1]Planilha!$A$18:$BK$553,59,FALSE)</f>
        <v>27.54</v>
      </c>
      <c r="V94" s="261">
        <f t="shared" si="72"/>
        <v>0</v>
      </c>
      <c r="W94" s="267">
        <f t="shared" si="57"/>
        <v>19.8</v>
      </c>
      <c r="X94" s="261">
        <f>VLOOKUP($A94,[1]Planilha!$A$18:$BK$553,50,FALSE)</f>
        <v>19.8</v>
      </c>
      <c r="Y94" s="261">
        <f t="shared" si="73"/>
        <v>0</v>
      </c>
      <c r="Z94" s="267">
        <f t="shared" si="58"/>
        <v>27.37</v>
      </c>
      <c r="AA94" s="261">
        <f>VLOOKUP($A94,[1]Planilha!$A$18:$BK$553,58,FALSE)</f>
        <v>27.37</v>
      </c>
      <c r="AB94" s="261">
        <f t="shared" si="74"/>
        <v>0</v>
      </c>
      <c r="AC94" s="267">
        <f t="shared" si="59"/>
        <v>18.670000000000002</v>
      </c>
      <c r="AD94" s="261">
        <f>VLOOKUP($A94,[1]Planilha!$A$18:$BK$553,49,FALSE)</f>
        <v>18.670000000000002</v>
      </c>
      <c r="AE94" s="261">
        <f t="shared" si="75"/>
        <v>0</v>
      </c>
      <c r="AF94" s="268">
        <f t="shared" si="60"/>
        <v>25.81</v>
      </c>
      <c r="AG94" s="261">
        <f>VLOOKUP($A94,[1]Planilha!$A$18:$BK$553,57,FALSE)</f>
        <v>25.81</v>
      </c>
      <c r="AH94" s="261">
        <f t="shared" si="76"/>
        <v>0</v>
      </c>
      <c r="AI94" s="376"/>
      <c r="AJ94" s="376"/>
      <c r="AK94" s="376"/>
      <c r="AL94" s="376"/>
      <c r="AM94" s="376"/>
      <c r="AN94" s="376"/>
      <c r="AO94" s="376"/>
      <c r="AP94" s="376"/>
      <c r="AQ94" s="376"/>
      <c r="AR94" s="376"/>
      <c r="AS94" s="376"/>
      <c r="AT94" s="376"/>
    </row>
    <row r="95" spans="1:46" s="124" customFormat="1">
      <c r="A95" s="232">
        <v>7891721044137</v>
      </c>
      <c r="B95" s="126" t="s">
        <v>17</v>
      </c>
      <c r="C95" s="122" t="s">
        <v>400</v>
      </c>
      <c r="D95" s="214" t="s">
        <v>495</v>
      </c>
      <c r="E95" s="269">
        <f>ROUND(K95*1.025,2)</f>
        <v>29.16</v>
      </c>
      <c r="F95" s="261">
        <f>VLOOKUP($A95,[1]Planilha!$A$18:$BK$553,54,FALSE)</f>
        <v>28.8</v>
      </c>
      <c r="G95" s="261">
        <f t="shared" si="66"/>
        <v>0.35999999999999943</v>
      </c>
      <c r="H95" s="269">
        <f>ROUND(E95/0.723358,2)</f>
        <v>40.31</v>
      </c>
      <c r="I95" s="261">
        <f>VLOOKUP($A95,[1]Planilha!$A$18:$BK$553,62,FALSE)</f>
        <v>40.31</v>
      </c>
      <c r="J95" s="261">
        <f t="shared" si="68"/>
        <v>0</v>
      </c>
      <c r="K95" s="265">
        <f>VLOOKUP(A95,[2]Plan1!$H$2:$J$279,3,FALSE)</f>
        <v>28.451752000000003</v>
      </c>
      <c r="L95" s="261">
        <f>VLOOKUP($A95,[1]Planilha!$A$18:$BK$553,52,FALSE)</f>
        <v>28.45</v>
      </c>
      <c r="M95" s="261">
        <f t="shared" si="69"/>
        <v>1.7520000000033065E-3</v>
      </c>
      <c r="N95" s="269">
        <f>ROUND(K95/0.723358,2)</f>
        <v>39.33</v>
      </c>
      <c r="O95" s="261">
        <f>VLOOKUP($A95,[1]Planilha!$A$18:$BK$553,60,FALSE)</f>
        <v>39.33</v>
      </c>
      <c r="P95" s="261">
        <f t="shared" si="70"/>
        <v>0</v>
      </c>
      <c r="Q95" s="269">
        <f t="shared" si="89"/>
        <v>28.28</v>
      </c>
      <c r="R95" s="261">
        <f>VLOOKUP($A95,[1]Planilha!$A$18:$BK$553,51,FALSE)</f>
        <v>28.28</v>
      </c>
      <c r="S95" s="261">
        <f t="shared" si="71"/>
        <v>0</v>
      </c>
      <c r="T95" s="269">
        <f t="shared" si="90"/>
        <v>39.1</v>
      </c>
      <c r="U95" s="261">
        <f>VLOOKUP($A95,[1]Planilha!$A$18:$BK$553,59,FALSE)</f>
        <v>39.1</v>
      </c>
      <c r="V95" s="261">
        <f t="shared" si="72"/>
        <v>0</v>
      </c>
      <c r="W95" s="269">
        <f t="shared" si="57"/>
        <v>28.11</v>
      </c>
      <c r="X95" s="261">
        <f>VLOOKUP($A95,[1]Planilha!$A$18:$BK$553,50,FALSE)</f>
        <v>28.11</v>
      </c>
      <c r="Y95" s="261">
        <f t="shared" si="73"/>
        <v>0</v>
      </c>
      <c r="Z95" s="269">
        <f t="shared" si="58"/>
        <v>38.86</v>
      </c>
      <c r="AA95" s="261">
        <f>VLOOKUP($A95,[1]Planilha!$A$18:$BK$553,58,FALSE)</f>
        <v>38.86</v>
      </c>
      <c r="AB95" s="261">
        <f t="shared" si="74"/>
        <v>0</v>
      </c>
      <c r="AC95" s="269">
        <f t="shared" si="59"/>
        <v>26.51</v>
      </c>
      <c r="AD95" s="261">
        <f>VLOOKUP($A95,[1]Planilha!$A$18:$BK$553,49,FALSE)</f>
        <v>26.51</v>
      </c>
      <c r="AE95" s="261">
        <f t="shared" si="75"/>
        <v>0</v>
      </c>
      <c r="AF95" s="270">
        <f t="shared" si="60"/>
        <v>36.65</v>
      </c>
      <c r="AG95" s="261">
        <f>VLOOKUP($A95,[1]Planilha!$A$18:$BK$553,57,FALSE)</f>
        <v>36.65</v>
      </c>
      <c r="AH95" s="261">
        <f t="shared" si="76"/>
        <v>0</v>
      </c>
      <c r="AI95" s="376"/>
      <c r="AJ95" s="376"/>
      <c r="AK95" s="376"/>
      <c r="AL95" s="376"/>
      <c r="AM95" s="376"/>
      <c r="AN95" s="376"/>
      <c r="AO95" s="376"/>
      <c r="AP95" s="376"/>
      <c r="AQ95" s="376"/>
      <c r="AR95" s="376"/>
      <c r="AS95" s="376"/>
      <c r="AT95" s="376"/>
    </row>
    <row r="96" spans="1:46" s="124" customFormat="1" ht="15">
      <c r="A96" s="414"/>
      <c r="B96" s="105" t="s">
        <v>313</v>
      </c>
      <c r="C96" s="105"/>
      <c r="D96" s="106"/>
      <c r="E96" s="188"/>
      <c r="F96" s="261" t="e">
        <f>VLOOKUP($A96,[1]Planilha!$A$18:$BK$553,54,FALSE)</f>
        <v>#N/A</v>
      </c>
      <c r="G96" s="261" t="e">
        <f t="shared" si="66"/>
        <v>#N/A</v>
      </c>
      <c r="H96" s="189"/>
      <c r="I96" s="261" t="e">
        <f>VLOOKUP($A96,[1]Planilha!$A$18:$BK$553,62,FALSE)</f>
        <v>#N/A</v>
      </c>
      <c r="J96" s="261" t="e">
        <f t="shared" si="68"/>
        <v>#N/A</v>
      </c>
      <c r="K96" s="188"/>
      <c r="L96" s="261" t="e">
        <f>VLOOKUP($A96,[1]Planilha!$A$18:$BK$553,52,FALSE)</f>
        <v>#N/A</v>
      </c>
      <c r="M96" s="261" t="e">
        <f t="shared" si="69"/>
        <v>#N/A</v>
      </c>
      <c r="N96" s="189"/>
      <c r="O96" s="261" t="e">
        <f>VLOOKUP($A96,[1]Planilha!$A$18:$BK$553,60,FALSE)</f>
        <v>#N/A</v>
      </c>
      <c r="P96" s="261" t="e">
        <f t="shared" si="70"/>
        <v>#N/A</v>
      </c>
      <c r="Q96" s="188"/>
      <c r="R96" s="261" t="e">
        <f>VLOOKUP($A96,[1]Planilha!$A$18:$BK$553,51,FALSE)</f>
        <v>#N/A</v>
      </c>
      <c r="S96" s="261" t="e">
        <f t="shared" si="71"/>
        <v>#N/A</v>
      </c>
      <c r="T96" s="189"/>
      <c r="U96" s="261" t="e">
        <f>VLOOKUP($A96,[1]Planilha!$A$18:$BK$553,59,FALSE)</f>
        <v>#N/A</v>
      </c>
      <c r="V96" s="261" t="e">
        <f t="shared" si="72"/>
        <v>#N/A</v>
      </c>
      <c r="W96" s="188"/>
      <c r="X96" s="261" t="e">
        <f>VLOOKUP($A96,[1]Planilha!$A$18:$BK$553,50,FALSE)</f>
        <v>#N/A</v>
      </c>
      <c r="Y96" s="261" t="e">
        <f t="shared" si="73"/>
        <v>#N/A</v>
      </c>
      <c r="Z96" s="189"/>
      <c r="AA96" s="261" t="e">
        <f>VLOOKUP($A96,[1]Planilha!$A$18:$BK$553,58,FALSE)</f>
        <v>#N/A</v>
      </c>
      <c r="AB96" s="261" t="e">
        <f t="shared" si="74"/>
        <v>#N/A</v>
      </c>
      <c r="AC96" s="188"/>
      <c r="AD96" s="261" t="e">
        <f>VLOOKUP($A96,[1]Planilha!$A$18:$BK$553,49,FALSE)</f>
        <v>#N/A</v>
      </c>
      <c r="AE96" s="261" t="e">
        <f t="shared" si="75"/>
        <v>#N/A</v>
      </c>
      <c r="AF96" s="191"/>
      <c r="AG96" s="261" t="e">
        <f>VLOOKUP($A96,[1]Planilha!$A$18:$BK$553,57,FALSE)</f>
        <v>#N/A</v>
      </c>
      <c r="AH96" s="261" t="e">
        <f t="shared" si="76"/>
        <v>#N/A</v>
      </c>
      <c r="AI96" s="376"/>
      <c r="AJ96" s="376"/>
      <c r="AK96" s="376"/>
      <c r="AL96" s="376"/>
      <c r="AM96" s="376"/>
      <c r="AN96" s="376"/>
      <c r="AO96" s="376"/>
      <c r="AP96" s="376"/>
      <c r="AQ96" s="376"/>
      <c r="AR96" s="376"/>
      <c r="AS96" s="376"/>
      <c r="AT96" s="376"/>
    </row>
    <row r="97" spans="1:46" s="124" customFormat="1">
      <c r="A97" s="233">
        <v>7891721026607</v>
      </c>
      <c r="B97" s="126" t="s">
        <v>18</v>
      </c>
      <c r="C97" s="117" t="s">
        <v>661</v>
      </c>
      <c r="D97" s="218" t="s">
        <v>531</v>
      </c>
      <c r="E97" s="263">
        <f t="shared" ref="E97:E101" si="92">ROUND(K97*1.025,2)</f>
        <v>11.16</v>
      </c>
      <c r="F97" s="261">
        <f>VLOOKUP($A97,[1]Planilha!$A$18:$BK$553,54,FALSE)</f>
        <v>11.02</v>
      </c>
      <c r="G97" s="261">
        <f t="shared" si="66"/>
        <v>0.14000000000000057</v>
      </c>
      <c r="H97" s="263">
        <f t="shared" ref="H97:H101" si="93">ROUND(E97/0.723358,2)</f>
        <v>15.43</v>
      </c>
      <c r="I97" s="261">
        <f>VLOOKUP($A97,[1]Planilha!$A$18:$BK$553,62,FALSE)</f>
        <v>15.43</v>
      </c>
      <c r="J97" s="261">
        <f t="shared" si="68"/>
        <v>0</v>
      </c>
      <c r="K97" s="263">
        <f>VLOOKUP(A97,[2]Plan1!$H$2:$J$279,3,FALSE)</f>
        <v>10.886064000000001</v>
      </c>
      <c r="L97" s="261">
        <f>VLOOKUP($A97,[1]Planilha!$A$18:$BK$553,52,FALSE)</f>
        <v>10.89</v>
      </c>
      <c r="M97" s="261">
        <f t="shared" si="69"/>
        <v>-3.9359999999994955E-3</v>
      </c>
      <c r="N97" s="263">
        <f t="shared" ref="N97:N100" si="94">ROUND(K97/0.723358,2)</f>
        <v>15.05</v>
      </c>
      <c r="O97" s="261">
        <f>VLOOKUP($A97,[1]Planilha!$A$18:$BK$553,60,FALSE)</f>
        <v>15.05</v>
      </c>
      <c r="P97" s="261">
        <f t="shared" si="70"/>
        <v>0</v>
      </c>
      <c r="Q97" s="263">
        <f t="shared" ref="Q97:Q101" si="95">ROUND(K97*0.993939,2)</f>
        <v>10.82</v>
      </c>
      <c r="R97" s="261">
        <f>VLOOKUP($A97,[1]Planilha!$A$18:$BK$553,51,FALSE)</f>
        <v>10.82</v>
      </c>
      <c r="S97" s="261">
        <f t="shared" si="71"/>
        <v>0</v>
      </c>
      <c r="T97" s="263">
        <f t="shared" ref="T97:T101" si="96">ROUND(Q97/0.723358,2)</f>
        <v>14.96</v>
      </c>
      <c r="U97" s="261">
        <f>VLOOKUP($A97,[1]Planilha!$A$18:$BK$553,59,FALSE)</f>
        <v>14.96</v>
      </c>
      <c r="V97" s="261">
        <f t="shared" si="72"/>
        <v>0</v>
      </c>
      <c r="W97" s="263">
        <f t="shared" si="57"/>
        <v>10.75</v>
      </c>
      <c r="X97" s="261">
        <f>VLOOKUP($A97,[1]Planilha!$A$18:$BK$553,50,FALSE)</f>
        <v>10.75</v>
      </c>
      <c r="Y97" s="261">
        <f t="shared" si="73"/>
        <v>0</v>
      </c>
      <c r="Z97" s="263">
        <f t="shared" si="58"/>
        <v>14.86</v>
      </c>
      <c r="AA97" s="261">
        <f>VLOOKUP($A97,[1]Planilha!$A$18:$BK$553,58,FALSE)</f>
        <v>14.86</v>
      </c>
      <c r="AB97" s="261">
        <f t="shared" si="74"/>
        <v>0</v>
      </c>
      <c r="AC97" s="263">
        <f t="shared" si="59"/>
        <v>10.14</v>
      </c>
      <c r="AD97" s="261">
        <f>VLOOKUP($A97,[1]Planilha!$A$18:$BK$553,49,FALSE)</f>
        <v>10.14</v>
      </c>
      <c r="AE97" s="261">
        <f t="shared" si="75"/>
        <v>0</v>
      </c>
      <c r="AF97" s="264">
        <f t="shared" si="60"/>
        <v>14.02</v>
      </c>
      <c r="AG97" s="261">
        <f>VLOOKUP($A97,[1]Planilha!$A$18:$BK$553,57,FALSE)</f>
        <v>14.02</v>
      </c>
      <c r="AH97" s="261">
        <f t="shared" si="76"/>
        <v>0</v>
      </c>
      <c r="AI97" s="376"/>
      <c r="AJ97" s="376"/>
      <c r="AK97" s="376"/>
      <c r="AL97" s="376"/>
      <c r="AM97" s="376"/>
      <c r="AN97" s="376"/>
      <c r="AO97" s="376"/>
      <c r="AP97" s="376"/>
      <c r="AQ97" s="376"/>
      <c r="AR97" s="376"/>
      <c r="AS97" s="376"/>
      <c r="AT97" s="376"/>
    </row>
    <row r="98" spans="1:46" s="124" customFormat="1">
      <c r="A98" s="232">
        <v>7891721026614</v>
      </c>
      <c r="B98" s="126">
        <v>1008902700066</v>
      </c>
      <c r="C98" s="126" t="s">
        <v>659</v>
      </c>
      <c r="D98" s="214" t="s">
        <v>532</v>
      </c>
      <c r="E98" s="267">
        <f t="shared" si="92"/>
        <v>22.41</v>
      </c>
      <c r="F98" s="261">
        <f>VLOOKUP($A98,[1]Planilha!$A$18:$BK$553,54,FALSE)</f>
        <v>22.13</v>
      </c>
      <c r="G98" s="261">
        <f t="shared" si="66"/>
        <v>0.28000000000000114</v>
      </c>
      <c r="H98" s="267">
        <f t="shared" si="93"/>
        <v>30.98</v>
      </c>
      <c r="I98" s="261">
        <f>VLOOKUP($A98,[1]Planilha!$A$18:$BK$553,62,FALSE)</f>
        <v>30.98</v>
      </c>
      <c r="J98" s="261">
        <f t="shared" si="68"/>
        <v>0</v>
      </c>
      <c r="K98" s="263">
        <f>VLOOKUP(A98,[2]Plan1!$H$2:$J$279,3,FALSE)</f>
        <v>21.863352000000003</v>
      </c>
      <c r="L98" s="261">
        <f>VLOOKUP($A98,[1]Planilha!$A$18:$BK$553,52,FALSE)</f>
        <v>21.86</v>
      </c>
      <c r="M98" s="261">
        <f t="shared" si="69"/>
        <v>3.3520000000031303E-3</v>
      </c>
      <c r="N98" s="267">
        <f>ROUND(K98/0.723358,2)</f>
        <v>30.22</v>
      </c>
      <c r="O98" s="261">
        <f>VLOOKUP($A98,[1]Planilha!$A$18:$BK$553,60,FALSE)</f>
        <v>30.22</v>
      </c>
      <c r="P98" s="261">
        <f t="shared" si="70"/>
        <v>0</v>
      </c>
      <c r="Q98" s="267">
        <f t="shared" si="95"/>
        <v>21.73</v>
      </c>
      <c r="R98" s="261">
        <f>VLOOKUP($A98,[1]Planilha!$A$18:$BK$553,51,FALSE)</f>
        <v>21.73</v>
      </c>
      <c r="S98" s="261">
        <f t="shared" si="71"/>
        <v>0</v>
      </c>
      <c r="T98" s="267">
        <f t="shared" si="96"/>
        <v>30.04</v>
      </c>
      <c r="U98" s="261">
        <f>VLOOKUP($A98,[1]Planilha!$A$18:$BK$553,59,FALSE)</f>
        <v>30.04</v>
      </c>
      <c r="V98" s="261">
        <f t="shared" si="72"/>
        <v>0</v>
      </c>
      <c r="W98" s="267">
        <f t="shared" si="57"/>
        <v>21.6</v>
      </c>
      <c r="X98" s="261">
        <f>VLOOKUP($A98,[1]Planilha!$A$18:$BK$553,50,FALSE)</f>
        <v>21.6</v>
      </c>
      <c r="Y98" s="261">
        <f t="shared" si="73"/>
        <v>0</v>
      </c>
      <c r="Z98" s="267">
        <f t="shared" si="58"/>
        <v>29.86</v>
      </c>
      <c r="AA98" s="261">
        <f>VLOOKUP($A98,[1]Planilha!$A$18:$BK$553,58,FALSE)</f>
        <v>29.86</v>
      </c>
      <c r="AB98" s="261">
        <f t="shared" si="74"/>
        <v>0</v>
      </c>
      <c r="AC98" s="267">
        <f t="shared" si="59"/>
        <v>20.37</v>
      </c>
      <c r="AD98" s="261">
        <f>VLOOKUP($A98,[1]Planilha!$A$18:$BK$553,49,FALSE)</f>
        <v>20.37</v>
      </c>
      <c r="AE98" s="261">
        <f t="shared" si="75"/>
        <v>0</v>
      </c>
      <c r="AF98" s="268">
        <f t="shared" si="60"/>
        <v>28.16</v>
      </c>
      <c r="AG98" s="261">
        <f>VLOOKUP($A98,[1]Planilha!$A$18:$BK$553,57,FALSE)</f>
        <v>28.16</v>
      </c>
      <c r="AH98" s="261">
        <f t="shared" si="76"/>
        <v>0</v>
      </c>
      <c r="AI98" s="376"/>
      <c r="AJ98" s="376"/>
      <c r="AK98" s="376"/>
      <c r="AL98" s="376"/>
      <c r="AM98" s="376"/>
      <c r="AN98" s="376"/>
      <c r="AO98" s="376"/>
      <c r="AP98" s="376"/>
      <c r="AQ98" s="376"/>
      <c r="AR98" s="376"/>
      <c r="AS98" s="376"/>
      <c r="AT98" s="376"/>
    </row>
    <row r="99" spans="1:46" s="124" customFormat="1">
      <c r="A99" s="232">
        <v>7891721026652</v>
      </c>
      <c r="B99" s="126">
        <v>1008902700181</v>
      </c>
      <c r="C99" s="126" t="s">
        <v>671</v>
      </c>
      <c r="D99" s="214" t="s">
        <v>536</v>
      </c>
      <c r="E99" s="267">
        <f t="shared" si="92"/>
        <v>9.6999999999999993</v>
      </c>
      <c r="F99" s="261">
        <f>VLOOKUP($A99,[1]Planilha!$A$18:$BK$553,54,FALSE)</f>
        <v>9.58</v>
      </c>
      <c r="G99" s="261">
        <f t="shared" si="66"/>
        <v>0.11999999999999922</v>
      </c>
      <c r="H99" s="267">
        <f t="shared" si="93"/>
        <v>13.41</v>
      </c>
      <c r="I99" s="261">
        <f>VLOOKUP($A99,[1]Planilha!$A$18:$BK$553,62,FALSE)</f>
        <v>13.41</v>
      </c>
      <c r="J99" s="261">
        <f t="shared" si="68"/>
        <v>0</v>
      </c>
      <c r="K99" s="263">
        <f>VLOOKUP(A99,[2]Plan1!$H$2:$J$279,3,FALSE)</f>
        <v>9.4670240000000003</v>
      </c>
      <c r="L99" s="261">
        <f>VLOOKUP($A99,[1]Planilha!$A$18:$BK$553,52,FALSE)</f>
        <v>9.4700000000000006</v>
      </c>
      <c r="M99" s="261">
        <f t="shared" si="69"/>
        <v>-2.9760000000003117E-3</v>
      </c>
      <c r="N99" s="267">
        <f t="shared" si="94"/>
        <v>13.09</v>
      </c>
      <c r="O99" s="261">
        <f>VLOOKUP($A99,[1]Planilha!$A$18:$BK$553,60,FALSE)</f>
        <v>13.09</v>
      </c>
      <c r="P99" s="261">
        <f t="shared" si="70"/>
        <v>0</v>
      </c>
      <c r="Q99" s="267">
        <f t="shared" si="95"/>
        <v>9.41</v>
      </c>
      <c r="R99" s="261">
        <f>VLOOKUP($A99,[1]Planilha!$A$18:$BK$553,51,FALSE)</f>
        <v>9.41</v>
      </c>
      <c r="S99" s="261">
        <f t="shared" si="71"/>
        <v>0</v>
      </c>
      <c r="T99" s="267">
        <f t="shared" si="96"/>
        <v>13.01</v>
      </c>
      <c r="U99" s="261">
        <f>VLOOKUP($A99,[1]Planilha!$A$18:$BK$553,59,FALSE)</f>
        <v>13.01</v>
      </c>
      <c r="V99" s="261">
        <f t="shared" si="72"/>
        <v>0</v>
      </c>
      <c r="W99" s="267">
        <f t="shared" si="57"/>
        <v>9.35</v>
      </c>
      <c r="X99" s="261">
        <f>VLOOKUP($A99,[1]Planilha!$A$18:$BK$553,50,FALSE)</f>
        <v>9.35</v>
      </c>
      <c r="Y99" s="261">
        <f t="shared" si="73"/>
        <v>0</v>
      </c>
      <c r="Z99" s="267">
        <f t="shared" si="58"/>
        <v>12.93</v>
      </c>
      <c r="AA99" s="261">
        <f>VLOOKUP($A99,[1]Planilha!$A$18:$BK$553,58,FALSE)</f>
        <v>12.93</v>
      </c>
      <c r="AB99" s="261">
        <f t="shared" si="74"/>
        <v>0</v>
      </c>
      <c r="AC99" s="267">
        <f t="shared" si="59"/>
        <v>8.82</v>
      </c>
      <c r="AD99" s="261">
        <f>VLOOKUP($A99,[1]Planilha!$A$18:$BK$553,49,FALSE)</f>
        <v>8.82</v>
      </c>
      <c r="AE99" s="261">
        <f t="shared" si="75"/>
        <v>0</v>
      </c>
      <c r="AF99" s="268">
        <f t="shared" si="60"/>
        <v>12.19</v>
      </c>
      <c r="AG99" s="261">
        <f>VLOOKUP($A99,[1]Planilha!$A$18:$BK$553,57,FALSE)</f>
        <v>12.19</v>
      </c>
      <c r="AH99" s="261">
        <f t="shared" si="76"/>
        <v>0</v>
      </c>
      <c r="AI99" s="376"/>
      <c r="AJ99" s="376"/>
      <c r="AK99" s="376"/>
      <c r="AL99" s="376"/>
      <c r="AM99" s="376"/>
      <c r="AN99" s="376"/>
      <c r="AO99" s="376"/>
      <c r="AP99" s="376"/>
      <c r="AQ99" s="376"/>
      <c r="AR99" s="376"/>
      <c r="AS99" s="376"/>
      <c r="AT99" s="376"/>
    </row>
    <row r="100" spans="1:46" s="124" customFormat="1">
      <c r="A100" s="232">
        <v>7891721026621</v>
      </c>
      <c r="B100" s="126">
        <v>1008902700112</v>
      </c>
      <c r="C100" s="126" t="s">
        <v>660</v>
      </c>
      <c r="D100" s="214" t="s">
        <v>533</v>
      </c>
      <c r="E100" s="267">
        <f t="shared" si="92"/>
        <v>29.1</v>
      </c>
      <c r="F100" s="261">
        <f>VLOOKUP($A100,[1]Planilha!$A$18:$BK$553,54,FALSE)</f>
        <v>28.74</v>
      </c>
      <c r="G100" s="261">
        <f t="shared" si="66"/>
        <v>0.36000000000000298</v>
      </c>
      <c r="H100" s="267">
        <f t="shared" si="93"/>
        <v>40.229999999999997</v>
      </c>
      <c r="I100" s="261">
        <f>VLOOKUP($A100,[1]Planilha!$A$18:$BK$553,62,FALSE)</f>
        <v>40.229999999999997</v>
      </c>
      <c r="J100" s="261">
        <f t="shared" si="68"/>
        <v>0</v>
      </c>
      <c r="K100" s="263">
        <f>VLOOKUP(A100,[2]Plan1!$H$2:$J$279,3,FALSE)</f>
        <v>28.390936000000004</v>
      </c>
      <c r="L100" s="261">
        <f>VLOOKUP($A100,[1]Planilha!$A$18:$BK$553,52,FALSE)</f>
        <v>28.39</v>
      </c>
      <c r="M100" s="261">
        <f t="shared" si="69"/>
        <v>9.3600000000293448E-4</v>
      </c>
      <c r="N100" s="267">
        <f t="shared" si="94"/>
        <v>39.25</v>
      </c>
      <c r="O100" s="261">
        <f>VLOOKUP($A100,[1]Planilha!$A$18:$BK$553,60,FALSE)</f>
        <v>39.25</v>
      </c>
      <c r="P100" s="261">
        <f t="shared" si="70"/>
        <v>0</v>
      </c>
      <c r="Q100" s="267">
        <f t="shared" si="95"/>
        <v>28.22</v>
      </c>
      <c r="R100" s="261">
        <f>VLOOKUP($A100,[1]Planilha!$A$18:$BK$553,51,FALSE)</f>
        <v>28.22</v>
      </c>
      <c r="S100" s="261">
        <f t="shared" si="71"/>
        <v>0</v>
      </c>
      <c r="T100" s="267">
        <f t="shared" si="96"/>
        <v>39.01</v>
      </c>
      <c r="U100" s="261">
        <f>VLOOKUP($A100,[1]Planilha!$A$18:$BK$553,59,FALSE)</f>
        <v>39.01</v>
      </c>
      <c r="V100" s="261">
        <f t="shared" si="72"/>
        <v>0</v>
      </c>
      <c r="W100" s="267">
        <f t="shared" si="57"/>
        <v>28.05</v>
      </c>
      <c r="X100" s="261">
        <f>VLOOKUP($A100,[1]Planilha!$A$18:$BK$553,50,FALSE)</f>
        <v>28.05</v>
      </c>
      <c r="Y100" s="261">
        <f t="shared" si="73"/>
        <v>0</v>
      </c>
      <c r="Z100" s="267">
        <f t="shared" si="58"/>
        <v>38.78</v>
      </c>
      <c r="AA100" s="261">
        <f>VLOOKUP($A100,[1]Planilha!$A$18:$BK$553,58,FALSE)</f>
        <v>38.78</v>
      </c>
      <c r="AB100" s="261">
        <f t="shared" si="74"/>
        <v>0</v>
      </c>
      <c r="AC100" s="484">
        <v>26.45</v>
      </c>
      <c r="AD100" s="261">
        <f>VLOOKUP($A100,[1]Planilha!$A$18:$BK$553,49,FALSE)</f>
        <v>26.45</v>
      </c>
      <c r="AE100" s="261">
        <f t="shared" si="75"/>
        <v>0</v>
      </c>
      <c r="AF100" s="268">
        <f t="shared" si="60"/>
        <v>36.57</v>
      </c>
      <c r="AG100" s="261">
        <f>VLOOKUP($A100,[1]Planilha!$A$18:$BK$553,57,FALSE)</f>
        <v>36.57</v>
      </c>
      <c r="AH100" s="261">
        <f t="shared" si="76"/>
        <v>0</v>
      </c>
      <c r="AI100" s="376"/>
      <c r="AJ100" s="376"/>
      <c r="AK100" s="376"/>
      <c r="AL100" s="376"/>
      <c r="AM100" s="376"/>
      <c r="AN100" s="376"/>
      <c r="AO100" s="376"/>
      <c r="AP100" s="376"/>
      <c r="AQ100" s="376"/>
      <c r="AR100" s="376"/>
      <c r="AS100" s="376"/>
      <c r="AT100" s="376"/>
    </row>
    <row r="101" spans="1:46" s="124" customFormat="1">
      <c r="A101" s="232">
        <v>7891721025839</v>
      </c>
      <c r="B101" s="126">
        <v>1008902700201</v>
      </c>
      <c r="C101" s="122" t="s">
        <v>592</v>
      </c>
      <c r="D101" s="214" t="s">
        <v>589</v>
      </c>
      <c r="E101" s="269">
        <f t="shared" si="92"/>
        <v>50</v>
      </c>
      <c r="F101" s="261">
        <f>VLOOKUP($A101,[1]Planilha!$A$18:$BK$553,54,FALSE)</f>
        <v>49.39</v>
      </c>
      <c r="G101" s="261">
        <f t="shared" si="66"/>
        <v>0.60999999999999943</v>
      </c>
      <c r="H101" s="269">
        <f t="shared" si="93"/>
        <v>69.12</v>
      </c>
      <c r="I101" s="261">
        <f>VLOOKUP($A101,[1]Planilha!$A$18:$BK$553,62,FALSE)</f>
        <v>69.12</v>
      </c>
      <c r="J101" s="261">
        <f t="shared" si="68"/>
        <v>0</v>
      </c>
      <c r="K101" s="263">
        <f>VLOOKUP(A101,[2]Plan1!$H$2:$J$279,3,FALSE)</f>
        <v>48.784568000000007</v>
      </c>
      <c r="L101" s="261">
        <f>VLOOKUP($A101,[1]Planilha!$A$18:$BK$553,52,FALSE)</f>
        <v>48.78</v>
      </c>
      <c r="M101" s="261">
        <f t="shared" si="69"/>
        <v>4.5680000000061227E-3</v>
      </c>
      <c r="N101" s="269">
        <f>ROUND(K101/0.723358,2)</f>
        <v>67.44</v>
      </c>
      <c r="O101" s="261">
        <f>VLOOKUP($A101,[1]Planilha!$A$18:$BK$553,60,FALSE)</f>
        <v>67.44</v>
      </c>
      <c r="P101" s="261">
        <f t="shared" si="70"/>
        <v>0</v>
      </c>
      <c r="Q101" s="269">
        <f t="shared" si="95"/>
        <v>48.49</v>
      </c>
      <c r="R101" s="261">
        <f>VLOOKUP($A101,[1]Planilha!$A$18:$BK$553,51,FALSE)</f>
        <v>48.49</v>
      </c>
      <c r="S101" s="261">
        <f t="shared" si="71"/>
        <v>0</v>
      </c>
      <c r="T101" s="269">
        <f t="shared" si="96"/>
        <v>67.03</v>
      </c>
      <c r="U101" s="261">
        <f>VLOOKUP($A101,[1]Planilha!$A$18:$BK$553,59,FALSE)</f>
        <v>67.03</v>
      </c>
      <c r="V101" s="261">
        <f t="shared" si="72"/>
        <v>0</v>
      </c>
      <c r="W101" s="269">
        <f t="shared" si="57"/>
        <v>48.2</v>
      </c>
      <c r="X101" s="261">
        <f>VLOOKUP($A101,[1]Planilha!$A$18:$BK$553,50,FALSE)</f>
        <v>48.2</v>
      </c>
      <c r="Y101" s="261">
        <f t="shared" si="73"/>
        <v>0</v>
      </c>
      <c r="Z101" s="269">
        <f t="shared" si="58"/>
        <v>66.63</v>
      </c>
      <c r="AA101" s="261">
        <f>VLOOKUP($A101,[1]Planilha!$A$18:$BK$553,58,FALSE)</f>
        <v>66.63</v>
      </c>
      <c r="AB101" s="261">
        <f t="shared" si="74"/>
        <v>0</v>
      </c>
      <c r="AC101" s="269">
        <f t="shared" si="59"/>
        <v>45.46</v>
      </c>
      <c r="AD101" s="261">
        <f>VLOOKUP($A101,[1]Planilha!$A$18:$BK$553,49,FALSE)</f>
        <v>45.46</v>
      </c>
      <c r="AE101" s="261">
        <f t="shared" si="75"/>
        <v>0</v>
      </c>
      <c r="AF101" s="270">
        <f t="shared" si="60"/>
        <v>62.85</v>
      </c>
      <c r="AG101" s="261">
        <f>VLOOKUP($A101,[1]Planilha!$A$18:$BK$553,57,FALSE)</f>
        <v>62.85</v>
      </c>
      <c r="AH101" s="261">
        <f t="shared" si="76"/>
        <v>0</v>
      </c>
      <c r="AI101" s="376"/>
      <c r="AJ101" s="376"/>
      <c r="AK101" s="376"/>
      <c r="AL101" s="376"/>
      <c r="AM101" s="376"/>
      <c r="AN101" s="376"/>
      <c r="AO101" s="376"/>
      <c r="AP101" s="376"/>
      <c r="AQ101" s="376"/>
      <c r="AR101" s="376"/>
      <c r="AS101" s="376"/>
      <c r="AT101" s="376"/>
    </row>
    <row r="102" spans="1:46" ht="15">
      <c r="A102" s="414"/>
      <c r="B102" s="105" t="s">
        <v>371</v>
      </c>
      <c r="C102" s="105"/>
      <c r="D102" s="106"/>
      <c r="E102" s="186"/>
      <c r="F102" s="261" t="e">
        <f>VLOOKUP($A102,[1]Planilha!$A$18:$BK$553,54,FALSE)</f>
        <v>#N/A</v>
      </c>
      <c r="G102" s="261" t="e">
        <f t="shared" si="66"/>
        <v>#N/A</v>
      </c>
      <c r="H102" s="187"/>
      <c r="I102" s="261" t="e">
        <f>VLOOKUP($A102,[1]Planilha!$A$18:$BK$553,62,FALSE)</f>
        <v>#N/A</v>
      </c>
      <c r="J102" s="261" t="e">
        <f t="shared" si="68"/>
        <v>#N/A</v>
      </c>
      <c r="K102" s="186"/>
      <c r="L102" s="261" t="e">
        <f>VLOOKUP($A102,[1]Planilha!$A$18:$BK$553,52,FALSE)</f>
        <v>#N/A</v>
      </c>
      <c r="M102" s="261" t="e">
        <f t="shared" si="69"/>
        <v>#N/A</v>
      </c>
      <c r="N102" s="187"/>
      <c r="O102" s="261" t="e">
        <f>VLOOKUP($A102,[1]Planilha!$A$18:$BK$553,60,FALSE)</f>
        <v>#N/A</v>
      </c>
      <c r="P102" s="261" t="e">
        <f t="shared" si="70"/>
        <v>#N/A</v>
      </c>
      <c r="Q102" s="186"/>
      <c r="R102" s="261" t="e">
        <f>VLOOKUP($A102,[1]Planilha!$A$18:$BK$553,51,FALSE)</f>
        <v>#N/A</v>
      </c>
      <c r="S102" s="261" t="e">
        <f t="shared" si="71"/>
        <v>#N/A</v>
      </c>
      <c r="T102" s="187"/>
      <c r="U102" s="261" t="e">
        <f>VLOOKUP($A102,[1]Planilha!$A$18:$BK$553,59,FALSE)</f>
        <v>#N/A</v>
      </c>
      <c r="V102" s="261" t="e">
        <f t="shared" si="72"/>
        <v>#N/A</v>
      </c>
      <c r="W102" s="186"/>
      <c r="X102" s="261" t="e">
        <f>VLOOKUP($A102,[1]Planilha!$A$18:$BK$553,50,FALSE)</f>
        <v>#N/A</v>
      </c>
      <c r="Y102" s="261" t="e">
        <f t="shared" si="73"/>
        <v>#N/A</v>
      </c>
      <c r="Z102" s="187"/>
      <c r="AA102" s="261" t="e">
        <f>VLOOKUP($A102,[1]Planilha!$A$18:$BK$553,58,FALSE)</f>
        <v>#N/A</v>
      </c>
      <c r="AB102" s="261" t="e">
        <f t="shared" si="74"/>
        <v>#N/A</v>
      </c>
      <c r="AC102" s="186"/>
      <c r="AD102" s="261" t="e">
        <f>VLOOKUP($A102,[1]Planilha!$A$18:$BK$553,49,FALSE)</f>
        <v>#N/A</v>
      </c>
      <c r="AE102" s="261" t="e">
        <f t="shared" si="75"/>
        <v>#N/A</v>
      </c>
      <c r="AF102" s="190"/>
      <c r="AG102" s="261" t="e">
        <f>VLOOKUP($A102,[1]Planilha!$A$18:$BK$553,57,FALSE)</f>
        <v>#N/A</v>
      </c>
      <c r="AH102" s="261" t="e">
        <f t="shared" si="76"/>
        <v>#N/A</v>
      </c>
    </row>
    <row r="103" spans="1:46" s="124" customFormat="1">
      <c r="A103" s="232">
        <v>7891721021190</v>
      </c>
      <c r="B103" s="126">
        <v>1008903230039</v>
      </c>
      <c r="C103" s="121" t="s">
        <v>545</v>
      </c>
      <c r="D103" s="214" t="s">
        <v>699</v>
      </c>
      <c r="E103" s="263">
        <f>K103</f>
        <v>8.2760400000000018</v>
      </c>
      <c r="F103" s="261">
        <f>VLOOKUP($A103,[1]Planilha!$A$18:$BK$553,54,FALSE)</f>
        <v>8.3800000000000008</v>
      </c>
      <c r="G103" s="261">
        <f t="shared" si="66"/>
        <v>-0.10395999999999894</v>
      </c>
      <c r="H103" s="263">
        <f t="shared" ref="H103:H104" si="97">N103</f>
        <v>11.44</v>
      </c>
      <c r="I103" s="261">
        <f>VLOOKUP($A103,[1]Planilha!$A$18:$BK$553,62,FALSE)</f>
        <v>11.72</v>
      </c>
      <c r="J103" s="261">
        <f t="shared" si="68"/>
        <v>-0.28000000000000114</v>
      </c>
      <c r="K103" s="263">
        <f>VLOOKUP(A103,[2]Plan1!$H$2:$J$279,3,FALSE)</f>
        <v>8.2760400000000018</v>
      </c>
      <c r="L103" s="261">
        <f>VLOOKUP($A103,[1]Planilha!$A$18:$BK$553,52,FALSE)</f>
        <v>8.2799999999999994</v>
      </c>
      <c r="M103" s="261">
        <f t="shared" si="69"/>
        <v>-3.9599999999975211E-3</v>
      </c>
      <c r="N103" s="263">
        <f t="shared" ref="N103:N104" si="98">ROUND(K103/0.723358,2)</f>
        <v>11.44</v>
      </c>
      <c r="O103" s="261">
        <f>VLOOKUP($A103,[1]Planilha!$A$18:$BK$553,60,FALSE)</f>
        <v>11.44</v>
      </c>
      <c r="P103" s="261">
        <f t="shared" si="70"/>
        <v>0</v>
      </c>
      <c r="Q103" s="263">
        <f t="shared" ref="Q103:Q104" si="99">ROUND(K103*0.993939,2)</f>
        <v>8.23</v>
      </c>
      <c r="R103" s="261">
        <f>VLOOKUP($A103,[1]Planilha!$A$18:$BK$553,51,FALSE)</f>
        <v>8.23</v>
      </c>
      <c r="S103" s="261">
        <f t="shared" si="71"/>
        <v>0</v>
      </c>
      <c r="T103" s="263">
        <f t="shared" ref="T103:T104" si="100">ROUND(Q103/0.723358,2)</f>
        <v>11.38</v>
      </c>
      <c r="U103" s="261">
        <f>VLOOKUP($A103,[1]Planilha!$A$18:$BK$553,59,FALSE)</f>
        <v>11.38</v>
      </c>
      <c r="V103" s="261">
        <f t="shared" si="72"/>
        <v>0</v>
      </c>
      <c r="W103" s="263">
        <f t="shared" si="57"/>
        <v>8.18</v>
      </c>
      <c r="X103" s="261">
        <f>VLOOKUP($A103,[1]Planilha!$A$18:$BK$553,50,FALSE)</f>
        <v>8.18</v>
      </c>
      <c r="Y103" s="261">
        <f t="shared" si="73"/>
        <v>0</v>
      </c>
      <c r="Z103" s="263">
        <f t="shared" si="58"/>
        <v>11.31</v>
      </c>
      <c r="AA103" s="261">
        <f>VLOOKUP($A103,[1]Planilha!$A$18:$BK$553,58,FALSE)</f>
        <v>11.31</v>
      </c>
      <c r="AB103" s="261">
        <f t="shared" si="74"/>
        <v>0</v>
      </c>
      <c r="AC103" s="263">
        <f t="shared" si="59"/>
        <v>7.71</v>
      </c>
      <c r="AD103" s="261">
        <f>VLOOKUP($A103,[1]Planilha!$A$18:$BK$553,49,FALSE)</f>
        <v>7.71</v>
      </c>
      <c r="AE103" s="261">
        <f t="shared" si="75"/>
        <v>0</v>
      </c>
      <c r="AF103" s="264">
        <f t="shared" si="60"/>
        <v>10.66</v>
      </c>
      <c r="AG103" s="261">
        <f>VLOOKUP($A103,[1]Planilha!$A$18:$BK$553,57,FALSE)</f>
        <v>10.66</v>
      </c>
      <c r="AH103" s="261">
        <f t="shared" si="76"/>
        <v>0</v>
      </c>
      <c r="AI103" s="376"/>
      <c r="AJ103" s="376"/>
      <c r="AK103" s="376"/>
      <c r="AL103" s="376"/>
      <c r="AM103" s="376"/>
      <c r="AN103" s="376"/>
      <c r="AO103" s="376"/>
      <c r="AP103" s="376"/>
      <c r="AQ103" s="376"/>
      <c r="AR103" s="376"/>
      <c r="AS103" s="376"/>
      <c r="AT103" s="376"/>
    </row>
    <row r="104" spans="1:46" s="124" customFormat="1">
      <c r="A104" s="682">
        <v>7891721013362</v>
      </c>
      <c r="B104" s="128" t="s">
        <v>22</v>
      </c>
      <c r="C104" s="128" t="s">
        <v>498</v>
      </c>
      <c r="D104" s="216" t="s">
        <v>700</v>
      </c>
      <c r="E104" s="271">
        <f>K104</f>
        <v>24.828120000000002</v>
      </c>
      <c r="F104" s="261">
        <f>VLOOKUP($A104,[1]Planilha!$A$18:$BK$553,54,FALSE)</f>
        <v>25.13</v>
      </c>
      <c r="G104" s="261">
        <f t="shared" si="66"/>
        <v>-0.30187999999999704</v>
      </c>
      <c r="H104" s="271">
        <f t="shared" si="97"/>
        <v>34.32</v>
      </c>
      <c r="I104" s="261">
        <f>VLOOKUP($A104,[1]Planilha!$A$18:$BK$553,62,FALSE)</f>
        <v>35.18</v>
      </c>
      <c r="J104" s="261">
        <f t="shared" si="68"/>
        <v>-0.85999999999999943</v>
      </c>
      <c r="K104" s="263">
        <f>VLOOKUP(A104,[2]Plan1!$H$2:$J$279,3,FALSE)</f>
        <v>24.828120000000002</v>
      </c>
      <c r="L104" s="261">
        <f>VLOOKUP($A104,[1]Planilha!$A$18:$BK$553,52,FALSE)</f>
        <v>24.83</v>
      </c>
      <c r="M104" s="261">
        <f t="shared" si="69"/>
        <v>-1.8799999999963291E-3</v>
      </c>
      <c r="N104" s="271">
        <f t="shared" si="98"/>
        <v>34.32</v>
      </c>
      <c r="O104" s="261">
        <f>VLOOKUP($A104,[1]Planilha!$A$18:$BK$553,60,FALSE)</f>
        <v>34.32</v>
      </c>
      <c r="P104" s="261">
        <f t="shared" si="70"/>
        <v>0</v>
      </c>
      <c r="Q104" s="271">
        <f t="shared" si="99"/>
        <v>24.68</v>
      </c>
      <c r="R104" s="261">
        <f>VLOOKUP($A104,[1]Planilha!$A$18:$BK$553,51,FALSE)</f>
        <v>24.68</v>
      </c>
      <c r="S104" s="261">
        <f t="shared" si="71"/>
        <v>0</v>
      </c>
      <c r="T104" s="271">
        <f t="shared" si="100"/>
        <v>34.119999999999997</v>
      </c>
      <c r="U104" s="261">
        <f>VLOOKUP($A104,[1]Planilha!$A$18:$BK$553,59,FALSE)</f>
        <v>34.119999999999997</v>
      </c>
      <c r="V104" s="261">
        <f t="shared" si="72"/>
        <v>0</v>
      </c>
      <c r="W104" s="271">
        <f t="shared" si="57"/>
        <v>24.53</v>
      </c>
      <c r="X104" s="261">
        <f>VLOOKUP($A104,[1]Planilha!$A$18:$BK$553,50,FALSE)</f>
        <v>24.53</v>
      </c>
      <c r="Y104" s="261">
        <f t="shared" si="73"/>
        <v>0</v>
      </c>
      <c r="Z104" s="271">
        <f t="shared" si="58"/>
        <v>33.909999999999997</v>
      </c>
      <c r="AA104" s="261">
        <f>VLOOKUP($A104,[1]Planilha!$A$18:$BK$553,58,FALSE)</f>
        <v>33.909999999999997</v>
      </c>
      <c r="AB104" s="261">
        <f t="shared" si="74"/>
        <v>0</v>
      </c>
      <c r="AC104" s="271">
        <f t="shared" si="59"/>
        <v>23.14</v>
      </c>
      <c r="AD104" s="261">
        <f>VLOOKUP($A104,[1]Planilha!$A$18:$BK$553,49,FALSE)</f>
        <v>23.14</v>
      </c>
      <c r="AE104" s="261">
        <f t="shared" si="75"/>
        <v>0</v>
      </c>
      <c r="AF104" s="272">
        <f t="shared" si="60"/>
        <v>31.99</v>
      </c>
      <c r="AG104" s="261">
        <f>VLOOKUP($A104,[1]Planilha!$A$18:$BK$553,57,FALSE)</f>
        <v>31.99</v>
      </c>
      <c r="AH104" s="261">
        <f t="shared" si="76"/>
        <v>0</v>
      </c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  <c r="AS104" s="376"/>
      <c r="AT104" s="376"/>
    </row>
    <row r="105" spans="1:46" ht="15">
      <c r="A105" s="414"/>
      <c r="B105" s="105" t="s">
        <v>440</v>
      </c>
      <c r="C105" s="105"/>
      <c r="D105" s="106"/>
      <c r="E105" s="186"/>
      <c r="F105" s="261" t="e">
        <f>VLOOKUP($A105,[1]Planilha!$A$18:$BK$553,54,FALSE)</f>
        <v>#N/A</v>
      </c>
      <c r="G105" s="261" t="e">
        <f t="shared" si="66"/>
        <v>#N/A</v>
      </c>
      <c r="H105" s="187"/>
      <c r="I105" s="261" t="e">
        <f>VLOOKUP($A105,[1]Planilha!$A$18:$BK$553,62,FALSE)</f>
        <v>#N/A</v>
      </c>
      <c r="J105" s="261" t="e">
        <f t="shared" si="68"/>
        <v>#N/A</v>
      </c>
      <c r="K105" s="186"/>
      <c r="L105" s="261" t="e">
        <f>VLOOKUP($A105,[1]Planilha!$A$18:$BK$553,52,FALSE)</f>
        <v>#N/A</v>
      </c>
      <c r="M105" s="261" t="e">
        <f t="shared" si="69"/>
        <v>#N/A</v>
      </c>
      <c r="N105" s="187"/>
      <c r="O105" s="261" t="e">
        <f>VLOOKUP($A105,[1]Planilha!$A$18:$BK$553,60,FALSE)</f>
        <v>#N/A</v>
      </c>
      <c r="P105" s="261" t="e">
        <f t="shared" si="70"/>
        <v>#N/A</v>
      </c>
      <c r="Q105" s="186"/>
      <c r="R105" s="261" t="e">
        <f>VLOOKUP($A105,[1]Planilha!$A$18:$BK$553,51,FALSE)</f>
        <v>#N/A</v>
      </c>
      <c r="S105" s="261" t="e">
        <f t="shared" si="71"/>
        <v>#N/A</v>
      </c>
      <c r="T105" s="187"/>
      <c r="U105" s="261" t="e">
        <f>VLOOKUP($A105,[1]Planilha!$A$18:$BK$553,59,FALSE)</f>
        <v>#N/A</v>
      </c>
      <c r="V105" s="261" t="e">
        <f t="shared" si="72"/>
        <v>#N/A</v>
      </c>
      <c r="W105" s="186"/>
      <c r="X105" s="261" t="e">
        <f>VLOOKUP($A105,[1]Planilha!$A$18:$BK$553,50,FALSE)</f>
        <v>#N/A</v>
      </c>
      <c r="Y105" s="261" t="e">
        <f t="shared" si="73"/>
        <v>#N/A</v>
      </c>
      <c r="Z105" s="187"/>
      <c r="AA105" s="261" t="e">
        <f>VLOOKUP($A105,[1]Planilha!$A$18:$BK$553,58,FALSE)</f>
        <v>#N/A</v>
      </c>
      <c r="AB105" s="261" t="e">
        <f t="shared" si="74"/>
        <v>#N/A</v>
      </c>
      <c r="AC105" s="186"/>
      <c r="AD105" s="261" t="e">
        <f>VLOOKUP($A105,[1]Planilha!$A$18:$BK$553,49,FALSE)</f>
        <v>#N/A</v>
      </c>
      <c r="AE105" s="261" t="e">
        <f t="shared" si="75"/>
        <v>#N/A</v>
      </c>
      <c r="AF105" s="190"/>
      <c r="AG105" s="261" t="e">
        <f>VLOOKUP($A105,[1]Planilha!$A$18:$BK$553,57,FALSE)</f>
        <v>#N/A</v>
      </c>
      <c r="AH105" s="261" t="e">
        <f t="shared" si="76"/>
        <v>#N/A</v>
      </c>
    </row>
    <row r="106" spans="1:46" s="124" customFormat="1">
      <c r="A106" s="232">
        <v>7891721023545</v>
      </c>
      <c r="B106" s="126">
        <v>1008903470072</v>
      </c>
      <c r="C106" s="121" t="s">
        <v>529</v>
      </c>
      <c r="D106" s="214" t="s">
        <v>441</v>
      </c>
      <c r="E106" s="263">
        <f t="shared" ref="E106:E107" si="101">ROUND(K106*1.025,2)</f>
        <v>21.21</v>
      </c>
      <c r="F106" s="261">
        <f>VLOOKUP($A106,[1]Planilha!$A$18:$BK$553,54,FALSE)</f>
        <v>20.95</v>
      </c>
      <c r="G106" s="261">
        <f t="shared" si="66"/>
        <v>0.26000000000000156</v>
      </c>
      <c r="H106" s="263">
        <f t="shared" ref="H106:H107" si="102">ROUND(E106/0.723358,2)</f>
        <v>29.32</v>
      </c>
      <c r="I106" s="261">
        <f>VLOOKUP($A106,[1]Planilha!$A$18:$BK$553,62,FALSE)</f>
        <v>29.32</v>
      </c>
      <c r="J106" s="261">
        <f t="shared" si="68"/>
        <v>0</v>
      </c>
      <c r="K106" s="263">
        <f>VLOOKUP(A106,[2]Plan1!$H$2:$J$279,3,FALSE)</f>
        <v>20.694447999999998</v>
      </c>
      <c r="L106" s="261">
        <f>VLOOKUP($A106,[1]Planilha!$A$18:$BK$553,52,FALSE)</f>
        <v>20.69</v>
      </c>
      <c r="M106" s="261">
        <f t="shared" si="69"/>
        <v>4.4479999999964548E-3</v>
      </c>
      <c r="N106" s="263">
        <f t="shared" ref="N106" si="103">ROUND(K106/0.723358,2)</f>
        <v>28.61</v>
      </c>
      <c r="O106" s="261">
        <f>VLOOKUP($A106,[1]Planilha!$A$18:$BK$553,60,FALSE)</f>
        <v>28.61</v>
      </c>
      <c r="P106" s="261">
        <f t="shared" si="70"/>
        <v>0</v>
      </c>
      <c r="Q106" s="263">
        <f t="shared" ref="Q106:Q107" si="104">ROUND(K106*0.993939,2)</f>
        <v>20.57</v>
      </c>
      <c r="R106" s="261">
        <f>VLOOKUP($A106,[1]Planilha!$A$18:$BK$553,51,FALSE)</f>
        <v>20.57</v>
      </c>
      <c r="S106" s="261">
        <f t="shared" si="71"/>
        <v>0</v>
      </c>
      <c r="T106" s="263">
        <f t="shared" ref="T106:T107" si="105">ROUND(Q106/0.723358,2)</f>
        <v>28.44</v>
      </c>
      <c r="U106" s="261">
        <f>VLOOKUP($A106,[1]Planilha!$A$18:$BK$553,59,FALSE)</f>
        <v>28.44</v>
      </c>
      <c r="V106" s="261">
        <f t="shared" si="72"/>
        <v>0</v>
      </c>
      <c r="W106" s="485">
        <v>20.440000000000001</v>
      </c>
      <c r="X106" s="261">
        <f>VLOOKUP($A106,[1]Planilha!$A$18:$BK$553,50,FALSE)</f>
        <v>20.440000000000001</v>
      </c>
      <c r="Y106" s="261">
        <f t="shared" si="73"/>
        <v>0</v>
      </c>
      <c r="Z106" s="263">
        <f t="shared" ref="Z106:Z122" si="106">ROUND(W106/0.723358,2)</f>
        <v>28.26</v>
      </c>
      <c r="AA106" s="261">
        <f>VLOOKUP($A106,[1]Planilha!$A$18:$BK$553,58,FALSE)</f>
        <v>28.26</v>
      </c>
      <c r="AB106" s="261">
        <f t="shared" si="74"/>
        <v>0</v>
      </c>
      <c r="AC106" s="263">
        <f t="shared" ref="AC106:AC122" si="107">ROUND(K106*0.931818,2)</f>
        <v>19.28</v>
      </c>
      <c r="AD106" s="261">
        <f>VLOOKUP($A106,[1]Planilha!$A$18:$BK$553,49,FALSE)</f>
        <v>19.28</v>
      </c>
      <c r="AE106" s="261">
        <f t="shared" si="75"/>
        <v>0</v>
      </c>
      <c r="AF106" s="264">
        <f t="shared" ref="AF106:AF122" si="108">ROUND(AC106/0.723358,2)</f>
        <v>26.65</v>
      </c>
      <c r="AG106" s="261">
        <f>VLOOKUP($A106,[1]Planilha!$A$18:$BK$553,57,FALSE)</f>
        <v>26.65</v>
      </c>
      <c r="AH106" s="261">
        <f t="shared" si="76"/>
        <v>0</v>
      </c>
      <c r="AI106" s="376"/>
      <c r="AJ106" s="376"/>
      <c r="AK106" s="376"/>
      <c r="AL106" s="376"/>
      <c r="AM106" s="376"/>
      <c r="AN106" s="376"/>
      <c r="AO106" s="376"/>
      <c r="AP106" s="376"/>
      <c r="AQ106" s="376"/>
      <c r="AR106" s="376"/>
      <c r="AS106" s="376"/>
      <c r="AT106" s="376"/>
    </row>
    <row r="107" spans="1:46" s="124" customFormat="1">
      <c r="A107" s="682">
        <v>7891721023576</v>
      </c>
      <c r="B107" s="128">
        <v>1008903470171</v>
      </c>
      <c r="C107" s="128" t="s">
        <v>557</v>
      </c>
      <c r="D107" s="216" t="s">
        <v>442</v>
      </c>
      <c r="E107" s="271">
        <f t="shared" si="101"/>
        <v>42.17</v>
      </c>
      <c r="F107" s="261">
        <f>VLOOKUP($A107,[1]Planilha!$A$18:$BK$553,54,FALSE)</f>
        <v>41.65</v>
      </c>
      <c r="G107" s="261">
        <f t="shared" si="66"/>
        <v>0.52000000000000313</v>
      </c>
      <c r="H107" s="271">
        <f t="shared" si="102"/>
        <v>58.3</v>
      </c>
      <c r="I107" s="261">
        <f>VLOOKUP($A107,[1]Planilha!$A$18:$BK$553,62,FALSE)</f>
        <v>58.3</v>
      </c>
      <c r="J107" s="261">
        <f t="shared" si="68"/>
        <v>0</v>
      </c>
      <c r="K107" s="263">
        <f>VLOOKUP(A107,[2]Plan1!$H$2:$J$279,3,FALSE)</f>
        <v>41.141551999999997</v>
      </c>
      <c r="L107" s="261">
        <f>VLOOKUP($A107,[1]Planilha!$A$18:$BK$553,52,FALSE)</f>
        <v>41.14</v>
      </c>
      <c r="M107" s="261">
        <f t="shared" si="69"/>
        <v>1.5519999999966672E-3</v>
      </c>
      <c r="N107" s="271">
        <f>ROUND(K107/0.723358,2)</f>
        <v>56.88</v>
      </c>
      <c r="O107" s="261">
        <f>VLOOKUP($A107,[1]Planilha!$A$18:$BK$553,60,FALSE)</f>
        <v>56.88</v>
      </c>
      <c r="P107" s="261">
        <f t="shared" si="70"/>
        <v>0</v>
      </c>
      <c r="Q107" s="271">
        <f t="shared" si="104"/>
        <v>40.89</v>
      </c>
      <c r="R107" s="261">
        <f>VLOOKUP($A107,[1]Planilha!$A$18:$BK$553,51,FALSE)</f>
        <v>40.89</v>
      </c>
      <c r="S107" s="261">
        <f t="shared" si="71"/>
        <v>0</v>
      </c>
      <c r="T107" s="271">
        <f t="shared" si="105"/>
        <v>56.53</v>
      </c>
      <c r="U107" s="261">
        <f>VLOOKUP($A107,[1]Planilha!$A$18:$BK$553,59,FALSE)</f>
        <v>56.53</v>
      </c>
      <c r="V107" s="261">
        <f t="shared" si="72"/>
        <v>0</v>
      </c>
      <c r="W107" s="271">
        <f t="shared" ref="W107:W122" si="109">ROUND(K107*0.987952,2)</f>
        <v>40.65</v>
      </c>
      <c r="X107" s="261">
        <f>VLOOKUP($A107,[1]Planilha!$A$18:$BK$553,50,FALSE)</f>
        <v>40.65</v>
      </c>
      <c r="Y107" s="261">
        <f t="shared" si="73"/>
        <v>0</v>
      </c>
      <c r="Z107" s="271">
        <f t="shared" si="106"/>
        <v>56.2</v>
      </c>
      <c r="AA107" s="261">
        <f>VLOOKUP($A107,[1]Planilha!$A$18:$BK$553,58,FALSE)</f>
        <v>56.2</v>
      </c>
      <c r="AB107" s="261">
        <f t="shared" si="74"/>
        <v>0</v>
      </c>
      <c r="AC107" s="271">
        <f t="shared" si="107"/>
        <v>38.340000000000003</v>
      </c>
      <c r="AD107" s="261">
        <f>VLOOKUP($A107,[1]Planilha!$A$18:$BK$553,49,FALSE)</f>
        <v>38.340000000000003</v>
      </c>
      <c r="AE107" s="261">
        <f t="shared" si="75"/>
        <v>0</v>
      </c>
      <c r="AF107" s="272">
        <f t="shared" si="108"/>
        <v>53</v>
      </c>
      <c r="AG107" s="261">
        <f>VLOOKUP($A107,[1]Planilha!$A$18:$BK$553,57,FALSE)</f>
        <v>53</v>
      </c>
      <c r="AH107" s="261">
        <f t="shared" si="76"/>
        <v>0</v>
      </c>
      <c r="AI107" s="376"/>
      <c r="AJ107" s="376"/>
      <c r="AK107" s="376"/>
      <c r="AL107" s="376"/>
      <c r="AM107" s="376"/>
      <c r="AN107" s="376"/>
      <c r="AO107" s="376"/>
      <c r="AP107" s="376"/>
      <c r="AQ107" s="376"/>
      <c r="AR107" s="376"/>
      <c r="AS107" s="376"/>
      <c r="AT107" s="376"/>
    </row>
    <row r="108" spans="1:46" ht="15">
      <c r="A108" s="414"/>
      <c r="B108" s="105" t="s">
        <v>716</v>
      </c>
      <c r="C108" s="105"/>
      <c r="D108" s="106"/>
      <c r="E108" s="186"/>
      <c r="F108" s="261" t="e">
        <f>VLOOKUP($A108,[1]Planilha!$A$18:$BK$553,54,FALSE)</f>
        <v>#N/A</v>
      </c>
      <c r="G108" s="261" t="e">
        <f t="shared" si="66"/>
        <v>#N/A</v>
      </c>
      <c r="H108" s="187"/>
      <c r="I108" s="261" t="e">
        <f>VLOOKUP($A108,[1]Planilha!$A$18:$BK$553,62,FALSE)</f>
        <v>#N/A</v>
      </c>
      <c r="J108" s="261" t="e">
        <f t="shared" si="68"/>
        <v>#N/A</v>
      </c>
      <c r="K108" s="186"/>
      <c r="L108" s="261" t="e">
        <f>VLOOKUP($A108,[1]Planilha!$A$18:$BK$553,52,FALSE)</f>
        <v>#N/A</v>
      </c>
      <c r="M108" s="261" t="e">
        <f t="shared" si="69"/>
        <v>#N/A</v>
      </c>
      <c r="N108" s="187"/>
      <c r="O108" s="261" t="e">
        <f>VLOOKUP($A108,[1]Planilha!$A$18:$BK$553,60,FALSE)</f>
        <v>#N/A</v>
      </c>
      <c r="P108" s="261" t="e">
        <f t="shared" si="70"/>
        <v>#N/A</v>
      </c>
      <c r="Q108" s="186"/>
      <c r="R108" s="261" t="e">
        <f>VLOOKUP($A108,[1]Planilha!$A$18:$BK$553,51,FALSE)</f>
        <v>#N/A</v>
      </c>
      <c r="S108" s="261" t="e">
        <f t="shared" si="71"/>
        <v>#N/A</v>
      </c>
      <c r="T108" s="187"/>
      <c r="U108" s="261" t="e">
        <f>VLOOKUP($A108,[1]Planilha!$A$18:$BK$553,59,FALSE)</f>
        <v>#N/A</v>
      </c>
      <c r="V108" s="261" t="e">
        <f t="shared" si="72"/>
        <v>#N/A</v>
      </c>
      <c r="W108" s="186"/>
      <c r="X108" s="261" t="e">
        <f>VLOOKUP($A108,[1]Planilha!$A$18:$BK$553,50,FALSE)</f>
        <v>#N/A</v>
      </c>
      <c r="Y108" s="261" t="e">
        <f t="shared" si="73"/>
        <v>#N/A</v>
      </c>
      <c r="Z108" s="187"/>
      <c r="AA108" s="261" t="e">
        <f>VLOOKUP($A108,[1]Planilha!$A$18:$BK$553,58,FALSE)</f>
        <v>#N/A</v>
      </c>
      <c r="AB108" s="261" t="e">
        <f t="shared" si="74"/>
        <v>#N/A</v>
      </c>
      <c r="AC108" s="186"/>
      <c r="AD108" s="261" t="e">
        <f>VLOOKUP($A108,[1]Planilha!$A$18:$BK$553,49,FALSE)</f>
        <v>#N/A</v>
      </c>
      <c r="AE108" s="261" t="e">
        <f t="shared" si="75"/>
        <v>#N/A</v>
      </c>
      <c r="AF108" s="190"/>
      <c r="AG108" s="261" t="e">
        <f>VLOOKUP($A108,[1]Planilha!$A$18:$BK$553,57,FALSE)</f>
        <v>#N/A</v>
      </c>
      <c r="AH108" s="261" t="e">
        <f t="shared" si="76"/>
        <v>#N/A</v>
      </c>
    </row>
    <row r="109" spans="1:46" s="124" customFormat="1">
      <c r="A109" s="232">
        <v>7891721028137</v>
      </c>
      <c r="B109" s="126">
        <v>1008903810027</v>
      </c>
      <c r="C109" s="121">
        <v>3216150001</v>
      </c>
      <c r="D109" s="214" t="s">
        <v>717</v>
      </c>
      <c r="E109" s="263">
        <f t="shared" ref="E109:E110" si="110">ROUND(K109*1.025,2)</f>
        <v>56.08</v>
      </c>
      <c r="F109" s="261">
        <f>VLOOKUP($A109,[1]Planilha!$A$18:$BK$553,54,FALSE)</f>
        <v>55.39</v>
      </c>
      <c r="G109" s="261">
        <f t="shared" si="66"/>
        <v>0.68999999999999773</v>
      </c>
      <c r="H109" s="263">
        <f t="shared" ref="H109:H110" si="111">ROUND(E109/0.723358,2)</f>
        <v>77.53</v>
      </c>
      <c r="I109" s="261">
        <f>VLOOKUP($A109,[1]Planilha!$A$18:$BK$553,62,FALSE)</f>
        <v>77.53</v>
      </c>
      <c r="J109" s="261">
        <f t="shared" si="68"/>
        <v>0</v>
      </c>
      <c r="K109" s="263">
        <f>VLOOKUP(A109,[2]Plan1!$H$2:$J$279,3,FALSE)</f>
        <v>54.716148000000004</v>
      </c>
      <c r="L109" s="261">
        <f>VLOOKUP($A109,[1]Planilha!$A$18:$BK$553,52,FALSE)</f>
        <v>54.72</v>
      </c>
      <c r="M109" s="261">
        <f t="shared" si="69"/>
        <v>-3.8519999999948595E-3</v>
      </c>
      <c r="N109" s="263">
        <f t="shared" ref="N109:N110" si="112">ROUND(K109/0.723358,2)</f>
        <v>75.64</v>
      </c>
      <c r="O109" s="261">
        <f>VLOOKUP($A109,[1]Planilha!$A$18:$BK$553,60,FALSE)</f>
        <v>75.64</v>
      </c>
      <c r="P109" s="261">
        <f t="shared" si="70"/>
        <v>0</v>
      </c>
      <c r="Q109" s="263">
        <f t="shared" ref="Q109:Q110" si="113">ROUND(K109*0.993939,2)</f>
        <v>54.38</v>
      </c>
      <c r="R109" s="261">
        <f>VLOOKUP($A109,[1]Planilha!$A$18:$BK$553,51,FALSE)</f>
        <v>54.38</v>
      </c>
      <c r="S109" s="261">
        <f t="shared" si="71"/>
        <v>0</v>
      </c>
      <c r="T109" s="263">
        <f t="shared" ref="T109:T110" si="114">ROUND(Q109/0.723358,2)</f>
        <v>75.180000000000007</v>
      </c>
      <c r="U109" s="261">
        <f>VLOOKUP($A109,[1]Planilha!$A$18:$BK$553,59,FALSE)</f>
        <v>75.180000000000007</v>
      </c>
      <c r="V109" s="261">
        <f t="shared" si="72"/>
        <v>0</v>
      </c>
      <c r="W109" s="263">
        <f t="shared" si="109"/>
        <v>54.06</v>
      </c>
      <c r="X109" s="261">
        <f>VLOOKUP($A109,[1]Planilha!$A$18:$BK$553,50,FALSE)</f>
        <v>54.06</v>
      </c>
      <c r="Y109" s="261">
        <f t="shared" si="73"/>
        <v>0</v>
      </c>
      <c r="Z109" s="263">
        <f t="shared" si="106"/>
        <v>74.73</v>
      </c>
      <c r="AA109" s="261">
        <f>VLOOKUP($A109,[1]Planilha!$A$18:$BK$553,58,FALSE)</f>
        <v>74.73</v>
      </c>
      <c r="AB109" s="261">
        <f t="shared" si="74"/>
        <v>0</v>
      </c>
      <c r="AC109" s="263">
        <f t="shared" si="107"/>
        <v>50.99</v>
      </c>
      <c r="AD109" s="261">
        <f>VLOOKUP($A109,[1]Planilha!$A$18:$BK$553,49,FALSE)</f>
        <v>50.99</v>
      </c>
      <c r="AE109" s="261">
        <f t="shared" si="75"/>
        <v>0</v>
      </c>
      <c r="AF109" s="264">
        <f t="shared" si="108"/>
        <v>70.489999999999995</v>
      </c>
      <c r="AG109" s="261">
        <f>VLOOKUP($A109,[1]Planilha!$A$18:$BK$553,57,FALSE)</f>
        <v>70.489999999999995</v>
      </c>
      <c r="AH109" s="261">
        <f t="shared" si="76"/>
        <v>0</v>
      </c>
      <c r="AI109" s="376"/>
      <c r="AJ109" s="376"/>
      <c r="AK109" s="376"/>
      <c r="AL109" s="376"/>
      <c r="AM109" s="376"/>
      <c r="AN109" s="376"/>
      <c r="AO109" s="376"/>
      <c r="AP109" s="376"/>
      <c r="AQ109" s="376"/>
      <c r="AR109" s="376"/>
      <c r="AS109" s="376"/>
      <c r="AT109" s="376"/>
    </row>
    <row r="110" spans="1:46" s="124" customFormat="1">
      <c r="A110" s="682">
        <v>7891721028144</v>
      </c>
      <c r="B110" s="128">
        <v>1008903810043</v>
      </c>
      <c r="C110" s="128">
        <v>3216170001</v>
      </c>
      <c r="D110" s="216" t="s">
        <v>718</v>
      </c>
      <c r="E110" s="271">
        <f t="shared" si="110"/>
        <v>86.01</v>
      </c>
      <c r="F110" s="261">
        <f>VLOOKUP($A110,[1]Planilha!$A$18:$BK$553,54,FALSE)</f>
        <v>84.95</v>
      </c>
      <c r="G110" s="261">
        <f t="shared" si="66"/>
        <v>1.0600000000000023</v>
      </c>
      <c r="H110" s="271">
        <f t="shared" si="111"/>
        <v>118.9</v>
      </c>
      <c r="I110" s="261">
        <f>VLOOKUP($A110,[1]Planilha!$A$18:$BK$553,62,FALSE)</f>
        <v>118.9</v>
      </c>
      <c r="J110" s="261">
        <f t="shared" si="68"/>
        <v>0</v>
      </c>
      <c r="K110" s="263">
        <f>VLOOKUP(A110,[2]Plan1!$H$2:$J$279,3,FALSE)</f>
        <v>83.912760000000006</v>
      </c>
      <c r="L110" s="261">
        <f>VLOOKUP($A110,[1]Planilha!$A$18:$BK$553,52,FALSE)</f>
        <v>83.91</v>
      </c>
      <c r="M110" s="261">
        <f t="shared" si="69"/>
        <v>2.7600000000091995E-3</v>
      </c>
      <c r="N110" s="271">
        <f t="shared" si="112"/>
        <v>116</v>
      </c>
      <c r="O110" s="261">
        <f>VLOOKUP($A110,[1]Planilha!$A$18:$BK$553,60,FALSE)</f>
        <v>116</v>
      </c>
      <c r="P110" s="261">
        <f t="shared" si="70"/>
        <v>0</v>
      </c>
      <c r="Q110" s="271">
        <f t="shared" si="113"/>
        <v>83.4</v>
      </c>
      <c r="R110" s="261">
        <f>VLOOKUP($A110,[1]Planilha!$A$18:$BK$553,51,FALSE)</f>
        <v>83.4</v>
      </c>
      <c r="S110" s="261">
        <f t="shared" si="71"/>
        <v>0</v>
      </c>
      <c r="T110" s="271">
        <f t="shared" si="114"/>
        <v>115.3</v>
      </c>
      <c r="U110" s="261">
        <f>VLOOKUP($A110,[1]Planilha!$A$18:$BK$553,59,FALSE)</f>
        <v>115.3</v>
      </c>
      <c r="V110" s="261">
        <f t="shared" si="72"/>
        <v>0</v>
      </c>
      <c r="W110" s="271">
        <f t="shared" si="109"/>
        <v>82.9</v>
      </c>
      <c r="X110" s="261">
        <f>VLOOKUP($A110,[1]Planilha!$A$18:$BK$553,50,FALSE)</f>
        <v>82.9</v>
      </c>
      <c r="Y110" s="261">
        <f t="shared" si="73"/>
        <v>0</v>
      </c>
      <c r="Z110" s="271">
        <f t="shared" si="106"/>
        <v>114.6</v>
      </c>
      <c r="AA110" s="261">
        <f>VLOOKUP($A110,[1]Planilha!$A$18:$BK$553,58,FALSE)</f>
        <v>114.6</v>
      </c>
      <c r="AB110" s="261">
        <f t="shared" si="74"/>
        <v>0</v>
      </c>
      <c r="AC110" s="271">
        <f t="shared" si="107"/>
        <v>78.19</v>
      </c>
      <c r="AD110" s="261">
        <f>VLOOKUP($A110,[1]Planilha!$A$18:$BK$553,49,FALSE)</f>
        <v>78.19</v>
      </c>
      <c r="AE110" s="261">
        <f t="shared" si="75"/>
        <v>0</v>
      </c>
      <c r="AF110" s="272">
        <f t="shared" si="108"/>
        <v>108.09</v>
      </c>
      <c r="AG110" s="261">
        <f>VLOOKUP($A110,[1]Planilha!$A$18:$BK$553,57,FALSE)</f>
        <v>108.09</v>
      </c>
      <c r="AH110" s="261">
        <f t="shared" si="76"/>
        <v>0</v>
      </c>
      <c r="AI110" s="376"/>
      <c r="AJ110" s="376"/>
      <c r="AK110" s="376"/>
      <c r="AL110" s="376"/>
      <c r="AM110" s="376"/>
      <c r="AN110" s="376"/>
      <c r="AO110" s="376"/>
      <c r="AP110" s="376"/>
      <c r="AQ110" s="376"/>
      <c r="AR110" s="376"/>
      <c r="AS110" s="376"/>
      <c r="AT110" s="376"/>
    </row>
    <row r="111" spans="1:46" s="124" customFormat="1" ht="15">
      <c r="A111" s="414"/>
      <c r="B111" s="105" t="s">
        <v>357</v>
      </c>
      <c r="C111" s="105"/>
      <c r="D111" s="106"/>
      <c r="E111" s="186"/>
      <c r="F111" s="261" t="e">
        <f>VLOOKUP($A111,[1]Planilha!$A$18:$BK$553,54,FALSE)</f>
        <v>#N/A</v>
      </c>
      <c r="G111" s="261" t="e">
        <f t="shared" si="66"/>
        <v>#N/A</v>
      </c>
      <c r="H111" s="187"/>
      <c r="I111" s="261" t="e">
        <f>VLOOKUP($A111,[1]Planilha!$A$18:$BK$553,62,FALSE)</f>
        <v>#N/A</v>
      </c>
      <c r="J111" s="261" t="e">
        <f t="shared" si="68"/>
        <v>#N/A</v>
      </c>
      <c r="K111" s="186"/>
      <c r="L111" s="261" t="e">
        <f>VLOOKUP($A111,[1]Planilha!$A$18:$BK$553,52,FALSE)</f>
        <v>#N/A</v>
      </c>
      <c r="M111" s="261" t="e">
        <f t="shared" si="69"/>
        <v>#N/A</v>
      </c>
      <c r="N111" s="187"/>
      <c r="O111" s="261" t="e">
        <f>VLOOKUP($A111,[1]Planilha!$A$18:$BK$553,60,FALSE)</f>
        <v>#N/A</v>
      </c>
      <c r="P111" s="261" t="e">
        <f t="shared" si="70"/>
        <v>#N/A</v>
      </c>
      <c r="Q111" s="186"/>
      <c r="R111" s="261" t="e">
        <f>VLOOKUP($A111,[1]Planilha!$A$18:$BK$553,51,FALSE)</f>
        <v>#N/A</v>
      </c>
      <c r="S111" s="261" t="e">
        <f t="shared" si="71"/>
        <v>#N/A</v>
      </c>
      <c r="T111" s="187"/>
      <c r="U111" s="261" t="e">
        <f>VLOOKUP($A111,[1]Planilha!$A$18:$BK$553,59,FALSE)</f>
        <v>#N/A</v>
      </c>
      <c r="V111" s="261" t="e">
        <f t="shared" si="72"/>
        <v>#N/A</v>
      </c>
      <c r="W111" s="186"/>
      <c r="X111" s="261" t="e">
        <f>VLOOKUP($A111,[1]Planilha!$A$18:$BK$553,50,FALSE)</f>
        <v>#N/A</v>
      </c>
      <c r="Y111" s="261" t="e">
        <f t="shared" si="73"/>
        <v>#N/A</v>
      </c>
      <c r="Z111" s="187"/>
      <c r="AA111" s="261" t="e">
        <f>VLOOKUP($A111,[1]Planilha!$A$18:$BK$553,58,FALSE)</f>
        <v>#N/A</v>
      </c>
      <c r="AB111" s="261" t="e">
        <f t="shared" si="74"/>
        <v>#N/A</v>
      </c>
      <c r="AC111" s="186"/>
      <c r="AD111" s="261" t="e">
        <f>VLOOKUP($A111,[1]Planilha!$A$18:$BK$553,49,FALSE)</f>
        <v>#N/A</v>
      </c>
      <c r="AE111" s="261" t="e">
        <f t="shared" si="75"/>
        <v>#N/A</v>
      </c>
      <c r="AF111" s="190"/>
      <c r="AG111" s="261" t="e">
        <f>VLOOKUP($A111,[1]Planilha!$A$18:$BK$553,57,FALSE)</f>
        <v>#N/A</v>
      </c>
      <c r="AH111" s="261" t="e">
        <f t="shared" si="76"/>
        <v>#N/A</v>
      </c>
      <c r="AI111" s="376"/>
      <c r="AJ111" s="376"/>
      <c r="AK111" s="376"/>
      <c r="AL111" s="376"/>
      <c r="AM111" s="376"/>
      <c r="AN111" s="376"/>
      <c r="AO111" s="376"/>
      <c r="AP111" s="376"/>
      <c r="AQ111" s="376"/>
      <c r="AR111" s="376"/>
      <c r="AS111" s="376"/>
      <c r="AT111" s="376"/>
    </row>
    <row r="112" spans="1:46" s="124" customFormat="1" ht="13.5" thickBot="1">
      <c r="A112" s="681">
        <v>7891721000737</v>
      </c>
      <c r="B112" s="135" t="s">
        <v>62</v>
      </c>
      <c r="C112" s="116" t="s">
        <v>527</v>
      </c>
      <c r="D112" s="329" t="s">
        <v>669</v>
      </c>
      <c r="E112" s="330">
        <f>ROUND(K112*1.025,2)</f>
        <v>39.49</v>
      </c>
      <c r="F112" s="261">
        <f>VLOOKUP($A112,[1]Planilha!$A$18:$BK$553,54,FALSE)</f>
        <v>39.01</v>
      </c>
      <c r="G112" s="261">
        <f t="shared" si="66"/>
        <v>0.48000000000000398</v>
      </c>
      <c r="H112" s="330">
        <f>ROUND(E112/0.723358,2)</f>
        <v>54.59</v>
      </c>
      <c r="I112" s="261">
        <f>VLOOKUP($A112,[1]Planilha!$A$18:$BK$553,62,FALSE)</f>
        <v>54.59</v>
      </c>
      <c r="J112" s="261">
        <f t="shared" si="68"/>
        <v>0</v>
      </c>
      <c r="K112" s="330">
        <f>VLOOKUP(A112,[2]Plan1!$H$2:$J$279,3,FALSE)</f>
        <v>38.530728000000003</v>
      </c>
      <c r="L112" s="261">
        <f>VLOOKUP($A112,[1]Planilha!$A$18:$BK$553,52,FALSE)</f>
        <v>38.53</v>
      </c>
      <c r="M112" s="261">
        <f t="shared" si="69"/>
        <v>7.2800000000228238E-4</v>
      </c>
      <c r="N112" s="330">
        <f>ROUND(K112/0.723358,2)</f>
        <v>53.27</v>
      </c>
      <c r="O112" s="261">
        <f>VLOOKUP($A112,[1]Planilha!$A$18:$BK$553,60,FALSE)</f>
        <v>53.27</v>
      </c>
      <c r="P112" s="261">
        <f t="shared" si="70"/>
        <v>0</v>
      </c>
      <c r="Q112" s="330">
        <f>ROUND(K112*0.993939,2)</f>
        <v>38.299999999999997</v>
      </c>
      <c r="R112" s="261">
        <f>VLOOKUP($A112,[1]Planilha!$A$18:$BK$553,51,FALSE)</f>
        <v>38.299999999999997</v>
      </c>
      <c r="S112" s="261">
        <f t="shared" si="71"/>
        <v>0</v>
      </c>
      <c r="T112" s="330">
        <f>ROUND(Q112/0.723358,2)</f>
        <v>52.95</v>
      </c>
      <c r="U112" s="261">
        <f>VLOOKUP($A112,[1]Planilha!$A$18:$BK$553,59,FALSE)</f>
        <v>52.95</v>
      </c>
      <c r="V112" s="261">
        <f t="shared" si="72"/>
        <v>0</v>
      </c>
      <c r="W112" s="330">
        <f t="shared" si="109"/>
        <v>38.07</v>
      </c>
      <c r="X112" s="261">
        <f>VLOOKUP($A112,[1]Planilha!$A$18:$BK$553,50,FALSE)</f>
        <v>38.07</v>
      </c>
      <c r="Y112" s="261">
        <f t="shared" si="73"/>
        <v>0</v>
      </c>
      <c r="Z112" s="330">
        <f t="shared" si="106"/>
        <v>52.63</v>
      </c>
      <c r="AA112" s="261">
        <f>VLOOKUP($A112,[1]Planilha!$A$18:$BK$553,58,FALSE)</f>
        <v>52.63</v>
      </c>
      <c r="AB112" s="261">
        <f t="shared" si="74"/>
        <v>0</v>
      </c>
      <c r="AC112" s="330">
        <f t="shared" si="107"/>
        <v>35.9</v>
      </c>
      <c r="AD112" s="261">
        <f>VLOOKUP($A112,[1]Planilha!$A$18:$BK$553,49,FALSE)</f>
        <v>35.9</v>
      </c>
      <c r="AE112" s="261">
        <f t="shared" si="75"/>
        <v>0</v>
      </c>
      <c r="AF112" s="331">
        <f t="shared" si="108"/>
        <v>49.63</v>
      </c>
      <c r="AG112" s="261">
        <f>VLOOKUP($A112,[1]Planilha!$A$18:$BK$553,57,FALSE)</f>
        <v>49.63</v>
      </c>
      <c r="AH112" s="261">
        <f t="shared" si="76"/>
        <v>0</v>
      </c>
      <c r="AI112" s="376"/>
      <c r="AJ112" s="376"/>
      <c r="AK112" s="376"/>
      <c r="AL112" s="376"/>
      <c r="AM112" s="376"/>
      <c r="AN112" s="376"/>
      <c r="AO112" s="376"/>
      <c r="AP112" s="376"/>
      <c r="AQ112" s="376"/>
      <c r="AR112" s="376"/>
      <c r="AS112" s="376"/>
      <c r="AT112" s="376"/>
    </row>
    <row r="113" spans="1:46" s="124" customFormat="1" ht="13.5" thickBot="1">
      <c r="A113" s="679"/>
      <c r="B113" s="170"/>
      <c r="C113" s="170"/>
      <c r="D113" s="171"/>
      <c r="E113" s="235"/>
      <c r="F113" s="261" t="e">
        <f>VLOOKUP($A113,[1]Planilha!$A$18:$BK$553,54,FALSE)</f>
        <v>#N/A</v>
      </c>
      <c r="G113" s="261" t="e">
        <f t="shared" si="66"/>
        <v>#N/A</v>
      </c>
      <c r="H113" s="236"/>
      <c r="I113" s="261" t="e">
        <f>VLOOKUP($A113,[1]Planilha!$A$18:$BK$553,62,FALSE)</f>
        <v>#N/A</v>
      </c>
      <c r="J113" s="261" t="e">
        <f t="shared" si="68"/>
        <v>#N/A</v>
      </c>
      <c r="K113" s="237"/>
      <c r="L113" s="261" t="e">
        <f>VLOOKUP($A113,[1]Planilha!$A$18:$BK$553,52,FALSE)</f>
        <v>#N/A</v>
      </c>
      <c r="M113" s="261" t="e">
        <f t="shared" si="69"/>
        <v>#N/A</v>
      </c>
      <c r="N113" s="236"/>
      <c r="O113" s="261" t="e">
        <f>VLOOKUP($A113,[1]Planilha!$A$18:$BK$553,60,FALSE)</f>
        <v>#N/A</v>
      </c>
      <c r="P113" s="261" t="e">
        <f t="shared" si="70"/>
        <v>#N/A</v>
      </c>
      <c r="Q113" s="238"/>
      <c r="R113" s="261" t="e">
        <f>VLOOKUP($A113,[1]Planilha!$A$18:$BK$553,51,FALSE)</f>
        <v>#N/A</v>
      </c>
      <c r="S113" s="261" t="e">
        <f t="shared" si="71"/>
        <v>#N/A</v>
      </c>
      <c r="T113" s="236"/>
      <c r="U113" s="261" t="e">
        <f>VLOOKUP($A113,[1]Planilha!$A$18:$BK$553,59,FALSE)</f>
        <v>#N/A</v>
      </c>
      <c r="V113" s="261" t="e">
        <f t="shared" si="72"/>
        <v>#N/A</v>
      </c>
      <c r="W113" s="238"/>
      <c r="X113" s="261" t="e">
        <f>VLOOKUP($A113,[1]Planilha!$A$18:$BK$553,50,FALSE)</f>
        <v>#N/A</v>
      </c>
      <c r="Y113" s="261" t="e">
        <f t="shared" si="73"/>
        <v>#N/A</v>
      </c>
      <c r="Z113" s="236"/>
      <c r="AA113" s="261" t="e">
        <f>VLOOKUP($A113,[1]Planilha!$A$18:$BK$553,58,FALSE)</f>
        <v>#N/A</v>
      </c>
      <c r="AB113" s="261" t="e">
        <f t="shared" si="74"/>
        <v>#N/A</v>
      </c>
      <c r="AC113" s="238"/>
      <c r="AD113" s="261" t="e">
        <f>VLOOKUP($A113,[1]Planilha!$A$18:$BK$553,49,FALSE)</f>
        <v>#N/A</v>
      </c>
      <c r="AE113" s="261" t="e">
        <f t="shared" si="75"/>
        <v>#N/A</v>
      </c>
      <c r="AF113" s="239"/>
      <c r="AG113" s="261" t="e">
        <f>VLOOKUP($A113,[1]Planilha!$A$18:$BK$553,57,FALSE)</f>
        <v>#N/A</v>
      </c>
      <c r="AH113" s="261" t="e">
        <f t="shared" si="76"/>
        <v>#N/A</v>
      </c>
      <c r="AI113" s="376"/>
      <c r="AJ113" s="376"/>
      <c r="AK113" s="376"/>
      <c r="AL113" s="376"/>
      <c r="AM113" s="376"/>
      <c r="AN113" s="376"/>
      <c r="AO113" s="376"/>
      <c r="AP113" s="376"/>
      <c r="AQ113" s="376"/>
      <c r="AR113" s="376"/>
      <c r="AS113" s="376"/>
      <c r="AT113" s="376"/>
    </row>
    <row r="114" spans="1:46" s="481" customFormat="1" ht="18.75" customHeight="1" thickBot="1">
      <c r="A114" s="680" t="s">
        <v>295</v>
      </c>
      <c r="B114" s="451" t="s">
        <v>281</v>
      </c>
      <c r="C114" s="457"/>
      <c r="D114" s="458"/>
      <c r="E114" s="454" t="s">
        <v>741</v>
      </c>
      <c r="F114" s="261" t="e">
        <f>VLOOKUP($A114,[1]Planilha!$A$18:$BK$553,54,FALSE)</f>
        <v>#N/A</v>
      </c>
      <c r="G114" s="261" t="e">
        <f t="shared" si="66"/>
        <v>#VALUE!</v>
      </c>
      <c r="H114" s="455"/>
      <c r="I114" s="261" t="e">
        <f>VLOOKUP($A114,[1]Planilha!$A$18:$BK$553,62,FALSE)</f>
        <v>#N/A</v>
      </c>
      <c r="J114" s="261" t="e">
        <f t="shared" si="68"/>
        <v>#N/A</v>
      </c>
      <c r="K114" s="454" t="s">
        <v>292</v>
      </c>
      <c r="L114" s="261" t="e">
        <f>VLOOKUP($A114,[1]Planilha!$A$18:$BK$553,52,FALSE)</f>
        <v>#N/A</v>
      </c>
      <c r="M114" s="261" t="e">
        <f t="shared" si="69"/>
        <v>#VALUE!</v>
      </c>
      <c r="N114" s="455"/>
      <c r="O114" s="261" t="e">
        <f>VLOOKUP($A114,[1]Planilha!$A$18:$BK$553,60,FALSE)</f>
        <v>#N/A</v>
      </c>
      <c r="P114" s="261" t="e">
        <f t="shared" si="70"/>
        <v>#N/A</v>
      </c>
      <c r="Q114" s="456" t="s">
        <v>740</v>
      </c>
      <c r="R114" s="261" t="e">
        <f>VLOOKUP($A114,[1]Planilha!$A$18:$BK$553,51,FALSE)</f>
        <v>#N/A</v>
      </c>
      <c r="S114" s="261" t="e">
        <f t="shared" si="71"/>
        <v>#VALUE!</v>
      </c>
      <c r="T114" s="455"/>
      <c r="U114" s="261" t="e">
        <f>VLOOKUP($A114,[1]Planilha!$A$18:$BK$553,59,FALSE)</f>
        <v>#N/A</v>
      </c>
      <c r="V114" s="261" t="e">
        <f t="shared" si="72"/>
        <v>#N/A</v>
      </c>
      <c r="W114" s="456" t="s">
        <v>293</v>
      </c>
      <c r="X114" s="261" t="e">
        <f>VLOOKUP($A114,[1]Planilha!$A$18:$BK$553,50,FALSE)</f>
        <v>#N/A</v>
      </c>
      <c r="Y114" s="261" t="e">
        <f t="shared" si="73"/>
        <v>#VALUE!</v>
      </c>
      <c r="Z114" s="455"/>
      <c r="AA114" s="261" t="e">
        <f>VLOOKUP($A114,[1]Planilha!$A$18:$BK$553,58,FALSE)</f>
        <v>#N/A</v>
      </c>
      <c r="AB114" s="261" t="e">
        <f t="shared" si="74"/>
        <v>#N/A</v>
      </c>
      <c r="AC114" s="456" t="s">
        <v>322</v>
      </c>
      <c r="AD114" s="261" t="e">
        <f>VLOOKUP($A114,[1]Planilha!$A$18:$BK$553,49,FALSE)</f>
        <v>#N/A</v>
      </c>
      <c r="AE114" s="261" t="e">
        <f t="shared" si="75"/>
        <v>#VALUE!</v>
      </c>
      <c r="AF114" s="459"/>
      <c r="AG114" s="261" t="e">
        <f>VLOOKUP($A114,[1]Planilha!$A$18:$BK$553,57,FALSE)</f>
        <v>#N/A</v>
      </c>
      <c r="AH114" s="261" t="e">
        <f t="shared" si="76"/>
        <v>#N/A</v>
      </c>
      <c r="AI114" s="480"/>
      <c r="AJ114" s="480"/>
      <c r="AK114" s="480"/>
      <c r="AL114" s="480"/>
      <c r="AM114" s="480"/>
      <c r="AN114" s="480"/>
      <c r="AO114" s="480"/>
      <c r="AP114" s="480"/>
      <c r="AQ114" s="480"/>
      <c r="AR114" s="480"/>
      <c r="AS114" s="480"/>
      <c r="AT114" s="480"/>
    </row>
    <row r="115" spans="1:46" s="124" customFormat="1" ht="12.75" customHeight="1">
      <c r="A115" s="449" t="s">
        <v>296</v>
      </c>
      <c r="B115" s="115" t="s">
        <v>13</v>
      </c>
      <c r="C115" s="119" t="s">
        <v>83</v>
      </c>
      <c r="D115" s="101"/>
      <c r="E115" s="240" t="s">
        <v>81</v>
      </c>
      <c r="F115" s="261" t="e">
        <f>VLOOKUP($A115,[1]Planilha!$A$18:$BK$553,54,FALSE)</f>
        <v>#N/A</v>
      </c>
      <c r="G115" s="261" t="e">
        <f t="shared" si="66"/>
        <v>#VALUE!</v>
      </c>
      <c r="H115" s="241" t="s">
        <v>82</v>
      </c>
      <c r="I115" s="261" t="e">
        <f>VLOOKUP($A115,[1]Planilha!$A$18:$BK$553,62,FALSE)</f>
        <v>#N/A</v>
      </c>
      <c r="J115" s="261" t="e">
        <f t="shared" si="68"/>
        <v>#VALUE!</v>
      </c>
      <c r="K115" s="240" t="s">
        <v>81</v>
      </c>
      <c r="L115" s="261" t="e">
        <f>VLOOKUP($A115,[1]Planilha!$A$18:$BK$553,52,FALSE)</f>
        <v>#N/A</v>
      </c>
      <c r="M115" s="261" t="e">
        <f t="shared" si="69"/>
        <v>#VALUE!</v>
      </c>
      <c r="N115" s="241" t="s">
        <v>82</v>
      </c>
      <c r="O115" s="261" t="e">
        <f>VLOOKUP($A115,[1]Planilha!$A$18:$BK$553,60,FALSE)</f>
        <v>#N/A</v>
      </c>
      <c r="P115" s="261" t="e">
        <f t="shared" si="70"/>
        <v>#VALUE!</v>
      </c>
      <c r="Q115" s="240" t="s">
        <v>81</v>
      </c>
      <c r="R115" s="261" t="e">
        <f>VLOOKUP($A115,[1]Planilha!$A$18:$BK$553,51,FALSE)</f>
        <v>#N/A</v>
      </c>
      <c r="S115" s="261" t="e">
        <f t="shared" si="71"/>
        <v>#VALUE!</v>
      </c>
      <c r="T115" s="241" t="s">
        <v>82</v>
      </c>
      <c r="U115" s="261" t="e">
        <f>VLOOKUP($A115,[1]Planilha!$A$18:$BK$553,59,FALSE)</f>
        <v>#N/A</v>
      </c>
      <c r="V115" s="261" t="e">
        <f t="shared" si="72"/>
        <v>#VALUE!</v>
      </c>
      <c r="W115" s="240" t="s">
        <v>81</v>
      </c>
      <c r="X115" s="261" t="e">
        <f>VLOOKUP($A115,[1]Planilha!$A$18:$BK$553,50,FALSE)</f>
        <v>#N/A</v>
      </c>
      <c r="Y115" s="261" t="e">
        <f t="shared" si="73"/>
        <v>#VALUE!</v>
      </c>
      <c r="Z115" s="241" t="s">
        <v>82</v>
      </c>
      <c r="AA115" s="261" t="e">
        <f>VLOOKUP($A115,[1]Planilha!$A$18:$BK$553,58,FALSE)</f>
        <v>#N/A</v>
      </c>
      <c r="AB115" s="261" t="e">
        <f t="shared" si="74"/>
        <v>#VALUE!</v>
      </c>
      <c r="AC115" s="242" t="s">
        <v>81</v>
      </c>
      <c r="AD115" s="261" t="e">
        <f>VLOOKUP($A115,[1]Planilha!$A$18:$BK$553,49,FALSE)</f>
        <v>#N/A</v>
      </c>
      <c r="AE115" s="261" t="e">
        <f t="shared" si="75"/>
        <v>#VALUE!</v>
      </c>
      <c r="AF115" s="243" t="s">
        <v>82</v>
      </c>
      <c r="AG115" s="261" t="e">
        <f>VLOOKUP($A115,[1]Planilha!$A$18:$BK$553,57,FALSE)</f>
        <v>#N/A</v>
      </c>
      <c r="AH115" s="261" t="e">
        <f t="shared" si="76"/>
        <v>#VALUE!</v>
      </c>
      <c r="AI115" s="376"/>
      <c r="AJ115" s="376"/>
      <c r="AK115" s="376"/>
      <c r="AL115" s="376"/>
      <c r="AM115" s="376"/>
      <c r="AN115" s="376"/>
      <c r="AO115" s="376"/>
      <c r="AP115" s="376"/>
      <c r="AQ115" s="376"/>
      <c r="AR115" s="376"/>
      <c r="AS115" s="376"/>
      <c r="AT115" s="376"/>
    </row>
    <row r="116" spans="1:46" s="124" customFormat="1" ht="13.5" customHeight="1" thickBot="1">
      <c r="A116" s="450"/>
      <c r="B116" s="155" t="s">
        <v>14</v>
      </c>
      <c r="C116" s="156" t="s">
        <v>379</v>
      </c>
      <c r="D116" s="157" t="s">
        <v>84</v>
      </c>
      <c r="E116" s="244" t="s">
        <v>85</v>
      </c>
      <c r="F116" s="261" t="e">
        <f>VLOOKUP($A116,[1]Planilha!$A$18:$BK$553,54,FALSE)</f>
        <v>#N/A</v>
      </c>
      <c r="G116" s="261" t="e">
        <f t="shared" si="66"/>
        <v>#VALUE!</v>
      </c>
      <c r="H116" s="245" t="s">
        <v>297</v>
      </c>
      <c r="I116" s="261" t="e">
        <f>VLOOKUP($A116,[1]Planilha!$A$18:$BK$553,62,FALSE)</f>
        <v>#N/A</v>
      </c>
      <c r="J116" s="261" t="e">
        <f t="shared" si="68"/>
        <v>#VALUE!</v>
      </c>
      <c r="K116" s="244" t="s">
        <v>85</v>
      </c>
      <c r="L116" s="261" t="e">
        <f>VLOOKUP($A116,[1]Planilha!$A$18:$BK$553,52,FALSE)</f>
        <v>#N/A</v>
      </c>
      <c r="M116" s="261" t="e">
        <f t="shared" si="69"/>
        <v>#VALUE!</v>
      </c>
      <c r="N116" s="245" t="s">
        <v>297</v>
      </c>
      <c r="O116" s="261" t="e">
        <f>VLOOKUP($A116,[1]Planilha!$A$18:$BK$553,60,FALSE)</f>
        <v>#N/A</v>
      </c>
      <c r="P116" s="261" t="e">
        <f t="shared" si="70"/>
        <v>#VALUE!</v>
      </c>
      <c r="Q116" s="244" t="s">
        <v>85</v>
      </c>
      <c r="R116" s="261" t="e">
        <f>VLOOKUP($A116,[1]Planilha!$A$18:$BK$553,51,FALSE)</f>
        <v>#N/A</v>
      </c>
      <c r="S116" s="261" t="e">
        <f t="shared" si="71"/>
        <v>#VALUE!</v>
      </c>
      <c r="T116" s="245" t="s">
        <v>297</v>
      </c>
      <c r="U116" s="261" t="e">
        <f>VLOOKUP($A116,[1]Planilha!$A$18:$BK$553,59,FALSE)</f>
        <v>#N/A</v>
      </c>
      <c r="V116" s="261" t="e">
        <f t="shared" si="72"/>
        <v>#VALUE!</v>
      </c>
      <c r="W116" s="244" t="s">
        <v>85</v>
      </c>
      <c r="X116" s="261" t="e">
        <f>VLOOKUP($A116,[1]Planilha!$A$18:$BK$553,50,FALSE)</f>
        <v>#N/A</v>
      </c>
      <c r="Y116" s="261" t="e">
        <f t="shared" si="73"/>
        <v>#VALUE!</v>
      </c>
      <c r="Z116" s="245" t="s">
        <v>297</v>
      </c>
      <c r="AA116" s="261" t="e">
        <f>VLOOKUP($A116,[1]Planilha!$A$18:$BK$553,58,FALSE)</f>
        <v>#N/A</v>
      </c>
      <c r="AB116" s="261" t="e">
        <f t="shared" si="74"/>
        <v>#VALUE!</v>
      </c>
      <c r="AC116" s="246" t="s">
        <v>85</v>
      </c>
      <c r="AD116" s="261" t="e">
        <f>VLOOKUP($A116,[1]Planilha!$A$18:$BK$553,49,FALSE)</f>
        <v>#N/A</v>
      </c>
      <c r="AE116" s="261" t="e">
        <f t="shared" si="75"/>
        <v>#VALUE!</v>
      </c>
      <c r="AF116" s="247" t="s">
        <v>297</v>
      </c>
      <c r="AG116" s="261" t="e">
        <f>VLOOKUP($A116,[1]Planilha!$A$18:$BK$553,57,FALSE)</f>
        <v>#N/A</v>
      </c>
      <c r="AH116" s="261" t="e">
        <f t="shared" si="76"/>
        <v>#VALUE!</v>
      </c>
      <c r="AI116" s="376"/>
      <c r="AJ116" s="376"/>
      <c r="AK116" s="376"/>
      <c r="AL116" s="376"/>
      <c r="AM116" s="376"/>
      <c r="AN116" s="376"/>
      <c r="AO116" s="376"/>
      <c r="AP116" s="376"/>
      <c r="AQ116" s="376"/>
      <c r="AR116" s="376"/>
      <c r="AS116" s="376"/>
      <c r="AT116" s="376"/>
    </row>
    <row r="117" spans="1:46" s="124" customFormat="1" ht="15">
      <c r="A117" s="394"/>
      <c r="B117" s="153" t="s">
        <v>316</v>
      </c>
      <c r="C117" s="153"/>
      <c r="D117" s="154"/>
      <c r="E117" s="186"/>
      <c r="F117" s="261" t="e">
        <f>VLOOKUP($A117,[1]Planilha!$A$18:$BK$553,54,FALSE)</f>
        <v>#N/A</v>
      </c>
      <c r="G117" s="261" t="e">
        <f t="shared" si="66"/>
        <v>#N/A</v>
      </c>
      <c r="H117" s="187"/>
      <c r="I117" s="261" t="e">
        <f>VLOOKUP($A117,[1]Planilha!$A$18:$BK$553,62,FALSE)</f>
        <v>#N/A</v>
      </c>
      <c r="J117" s="261" t="e">
        <f t="shared" si="68"/>
        <v>#N/A</v>
      </c>
      <c r="K117" s="186"/>
      <c r="L117" s="261" t="e">
        <f>VLOOKUP($A117,[1]Planilha!$A$18:$BK$553,52,FALSE)</f>
        <v>#N/A</v>
      </c>
      <c r="M117" s="261" t="e">
        <f t="shared" si="69"/>
        <v>#N/A</v>
      </c>
      <c r="N117" s="187"/>
      <c r="O117" s="261" t="e">
        <f>VLOOKUP($A117,[1]Planilha!$A$18:$BK$553,60,FALSE)</f>
        <v>#N/A</v>
      </c>
      <c r="P117" s="261" t="e">
        <f t="shared" si="70"/>
        <v>#N/A</v>
      </c>
      <c r="Q117" s="186"/>
      <c r="R117" s="261" t="e">
        <f>VLOOKUP($A117,[1]Planilha!$A$18:$BK$553,51,FALSE)</f>
        <v>#N/A</v>
      </c>
      <c r="S117" s="261" t="e">
        <f t="shared" si="71"/>
        <v>#N/A</v>
      </c>
      <c r="T117" s="187"/>
      <c r="U117" s="261" t="e">
        <f>VLOOKUP($A117,[1]Planilha!$A$18:$BK$553,59,FALSE)</f>
        <v>#N/A</v>
      </c>
      <c r="V117" s="261" t="e">
        <f t="shared" si="72"/>
        <v>#N/A</v>
      </c>
      <c r="W117" s="186"/>
      <c r="X117" s="261" t="e">
        <f>VLOOKUP($A117,[1]Planilha!$A$18:$BK$553,50,FALSE)</f>
        <v>#N/A</v>
      </c>
      <c r="Y117" s="261" t="e">
        <f t="shared" si="73"/>
        <v>#N/A</v>
      </c>
      <c r="Z117" s="187"/>
      <c r="AA117" s="261" t="e">
        <f>VLOOKUP($A117,[1]Planilha!$A$18:$BK$553,58,FALSE)</f>
        <v>#N/A</v>
      </c>
      <c r="AB117" s="261" t="e">
        <f t="shared" si="74"/>
        <v>#N/A</v>
      </c>
      <c r="AC117" s="186"/>
      <c r="AD117" s="261" t="e">
        <f>VLOOKUP($A117,[1]Planilha!$A$18:$BK$553,49,FALSE)</f>
        <v>#N/A</v>
      </c>
      <c r="AE117" s="261" t="e">
        <f t="shared" si="75"/>
        <v>#N/A</v>
      </c>
      <c r="AF117" s="190"/>
      <c r="AG117" s="261" t="e">
        <f>VLOOKUP($A117,[1]Planilha!$A$18:$BK$553,57,FALSE)</f>
        <v>#N/A</v>
      </c>
      <c r="AH117" s="261" t="e">
        <f t="shared" si="76"/>
        <v>#N/A</v>
      </c>
      <c r="AI117" s="376"/>
      <c r="AJ117" s="376"/>
      <c r="AK117" s="376"/>
      <c r="AL117" s="376"/>
      <c r="AM117" s="376"/>
      <c r="AN117" s="376"/>
      <c r="AO117" s="376"/>
      <c r="AP117" s="376"/>
      <c r="AQ117" s="376"/>
      <c r="AR117" s="376"/>
      <c r="AS117" s="376"/>
      <c r="AT117" s="376"/>
    </row>
    <row r="118" spans="1:46" s="124" customFormat="1">
      <c r="A118" s="232">
        <v>7891721001932</v>
      </c>
      <c r="B118" s="351">
        <v>1008903870011</v>
      </c>
      <c r="C118" s="123" t="s">
        <v>546</v>
      </c>
      <c r="D118" s="214" t="s">
        <v>626</v>
      </c>
      <c r="E118" s="273">
        <f>K118</f>
        <v>9.7426800000000018</v>
      </c>
      <c r="F118" s="261">
        <f>VLOOKUP($A118,[1]Planilha!$A$18:$BK$553,54,FALSE)</f>
        <v>9.86</v>
      </c>
      <c r="G118" s="261">
        <f t="shared" si="66"/>
        <v>-0.11731999999999765</v>
      </c>
      <c r="H118" s="273">
        <f t="shared" ref="H118:H120" si="115">N118</f>
        <v>13.47</v>
      </c>
      <c r="I118" s="261">
        <f>VLOOKUP($A118,[1]Planilha!$A$18:$BK$553,62,FALSE)</f>
        <v>13.81</v>
      </c>
      <c r="J118" s="261">
        <f t="shared" si="68"/>
        <v>-0.33999999999999986</v>
      </c>
      <c r="K118" s="273">
        <f>VLOOKUP(A118,[2]Plan1!$H$2:$J$279,3,FALSE)</f>
        <v>9.7426800000000018</v>
      </c>
      <c r="L118" s="261">
        <f>VLOOKUP($A118,[1]Planilha!$A$18:$BK$553,52,FALSE)</f>
        <v>9.74</v>
      </c>
      <c r="M118" s="261">
        <f t="shared" si="69"/>
        <v>2.68000000000157E-3</v>
      </c>
      <c r="N118" s="273">
        <f t="shared" ref="N118:N120" si="116">ROUND(K118/0.723358,2)</f>
        <v>13.47</v>
      </c>
      <c r="O118" s="261">
        <f>VLOOKUP($A118,[1]Planilha!$A$18:$BK$553,60,FALSE)</f>
        <v>13.47</v>
      </c>
      <c r="P118" s="261">
        <f t="shared" si="70"/>
        <v>0</v>
      </c>
      <c r="Q118" s="273">
        <f t="shared" ref="Q118:Q120" si="117">ROUND(K118*0.993939,2)</f>
        <v>9.68</v>
      </c>
      <c r="R118" s="261">
        <f>VLOOKUP($A118,[1]Planilha!$A$18:$BK$553,51,FALSE)</f>
        <v>9.68</v>
      </c>
      <c r="S118" s="261">
        <f t="shared" si="71"/>
        <v>0</v>
      </c>
      <c r="T118" s="273">
        <f t="shared" ref="T118:T120" si="118">ROUND(Q118/0.723358,2)</f>
        <v>13.38</v>
      </c>
      <c r="U118" s="261">
        <f>VLOOKUP($A118,[1]Planilha!$A$18:$BK$553,59,FALSE)</f>
        <v>13.38</v>
      </c>
      <c r="V118" s="261">
        <f t="shared" si="72"/>
        <v>0</v>
      </c>
      <c r="W118" s="485">
        <v>9.6199999999999992</v>
      </c>
      <c r="X118" s="261">
        <f>VLOOKUP($A118,[1]Planilha!$A$18:$BK$553,50,FALSE)</f>
        <v>9.6199999999999992</v>
      </c>
      <c r="Y118" s="261">
        <f t="shared" si="73"/>
        <v>0</v>
      </c>
      <c r="Z118" s="273">
        <f t="shared" si="106"/>
        <v>13.3</v>
      </c>
      <c r="AA118" s="261">
        <f>VLOOKUP($A118,[1]Planilha!$A$18:$BK$553,58,FALSE)</f>
        <v>13.3</v>
      </c>
      <c r="AB118" s="261">
        <f t="shared" si="74"/>
        <v>0</v>
      </c>
      <c r="AC118" s="273">
        <f t="shared" si="107"/>
        <v>9.08</v>
      </c>
      <c r="AD118" s="261">
        <f>VLOOKUP($A118,[1]Planilha!$A$18:$BK$553,49,FALSE)</f>
        <v>9.08</v>
      </c>
      <c r="AE118" s="261">
        <f t="shared" si="75"/>
        <v>0</v>
      </c>
      <c r="AF118" s="274">
        <f t="shared" si="108"/>
        <v>12.55</v>
      </c>
      <c r="AG118" s="261">
        <f>VLOOKUP($A118,[1]Planilha!$A$18:$BK$553,57,FALSE)</f>
        <v>12.55</v>
      </c>
      <c r="AH118" s="261">
        <f t="shared" si="76"/>
        <v>0</v>
      </c>
      <c r="AI118" s="376"/>
      <c r="AJ118" s="376"/>
      <c r="AK118" s="376"/>
      <c r="AL118" s="376"/>
      <c r="AM118" s="376"/>
      <c r="AN118" s="376"/>
      <c r="AO118" s="376"/>
      <c r="AP118" s="376"/>
      <c r="AQ118" s="376"/>
      <c r="AR118" s="376"/>
      <c r="AS118" s="376"/>
      <c r="AT118" s="376"/>
    </row>
    <row r="119" spans="1:46" s="124" customFormat="1">
      <c r="A119" s="232">
        <v>7891721012969</v>
      </c>
      <c r="B119" s="351">
        <v>1008903870089</v>
      </c>
      <c r="C119" s="126" t="s">
        <v>401</v>
      </c>
      <c r="D119" s="214" t="s">
        <v>627</v>
      </c>
      <c r="E119" s="273">
        <f>K119</f>
        <v>14.603544000000001</v>
      </c>
      <c r="F119" s="261">
        <f>VLOOKUP($A119,[1]Planilha!$A$18:$BK$553,54,FALSE)</f>
        <v>14.78</v>
      </c>
      <c r="G119" s="261">
        <f t="shared" si="66"/>
        <v>-0.17645599999999817</v>
      </c>
      <c r="H119" s="273">
        <f t="shared" si="115"/>
        <v>20.190000000000001</v>
      </c>
      <c r="I119" s="261">
        <f>VLOOKUP($A119,[1]Planilha!$A$18:$BK$553,62,FALSE)</f>
        <v>20.7</v>
      </c>
      <c r="J119" s="261">
        <f t="shared" si="68"/>
        <v>-0.50999999999999801</v>
      </c>
      <c r="K119" s="273">
        <f>VLOOKUP(A119,[2]Plan1!$H$2:$J$279,3,FALSE)</f>
        <v>14.603544000000001</v>
      </c>
      <c r="L119" s="261">
        <f>VLOOKUP($A119,[1]Planilha!$A$18:$BK$553,52,FALSE)</f>
        <v>14.6</v>
      </c>
      <c r="M119" s="261">
        <f t="shared" si="69"/>
        <v>3.5440000000015459E-3</v>
      </c>
      <c r="N119" s="273">
        <f t="shared" si="116"/>
        <v>20.190000000000001</v>
      </c>
      <c r="O119" s="261">
        <f>VLOOKUP($A119,[1]Planilha!$A$18:$BK$553,60,FALSE)</f>
        <v>20.190000000000001</v>
      </c>
      <c r="P119" s="261">
        <f t="shared" si="70"/>
        <v>0</v>
      </c>
      <c r="Q119" s="485">
        <v>14.51</v>
      </c>
      <c r="R119" s="261">
        <f>VLOOKUP($A119,[1]Planilha!$A$18:$BK$553,51,FALSE)</f>
        <v>14.51</v>
      </c>
      <c r="S119" s="261">
        <f t="shared" si="71"/>
        <v>0</v>
      </c>
      <c r="T119" s="273">
        <f t="shared" si="118"/>
        <v>20.059999999999999</v>
      </c>
      <c r="U119" s="261">
        <f>VLOOKUP($A119,[1]Planilha!$A$18:$BK$553,59,FALSE)</f>
        <v>20.059999999999999</v>
      </c>
      <c r="V119" s="261">
        <f t="shared" si="72"/>
        <v>0</v>
      </c>
      <c r="W119" s="273">
        <f t="shared" si="109"/>
        <v>14.43</v>
      </c>
      <c r="X119" s="261">
        <f>VLOOKUP($A119,[1]Planilha!$A$18:$BK$553,50,FALSE)</f>
        <v>14.43</v>
      </c>
      <c r="Y119" s="261">
        <f t="shared" si="73"/>
        <v>0</v>
      </c>
      <c r="Z119" s="273">
        <f t="shared" si="106"/>
        <v>19.95</v>
      </c>
      <c r="AA119" s="261">
        <f>VLOOKUP($A119,[1]Planilha!$A$18:$BK$553,58,FALSE)</f>
        <v>19.95</v>
      </c>
      <c r="AB119" s="261">
        <f t="shared" si="74"/>
        <v>0</v>
      </c>
      <c r="AC119" s="273">
        <f t="shared" si="107"/>
        <v>13.61</v>
      </c>
      <c r="AD119" s="261">
        <f>VLOOKUP($A119,[1]Planilha!$A$18:$BK$553,49,FALSE)</f>
        <v>13.61</v>
      </c>
      <c r="AE119" s="261">
        <f t="shared" si="75"/>
        <v>0</v>
      </c>
      <c r="AF119" s="274">
        <f t="shared" si="108"/>
        <v>18.82</v>
      </c>
      <c r="AG119" s="261">
        <f>VLOOKUP($A119,[1]Planilha!$A$18:$BK$553,57,FALSE)</f>
        <v>18.82</v>
      </c>
      <c r="AH119" s="261">
        <f t="shared" si="76"/>
        <v>0</v>
      </c>
      <c r="AI119" s="376"/>
      <c r="AJ119" s="376"/>
      <c r="AK119" s="376"/>
      <c r="AL119" s="376"/>
      <c r="AM119" s="376"/>
      <c r="AN119" s="376"/>
      <c r="AO119" s="376"/>
      <c r="AP119" s="376"/>
      <c r="AQ119" s="376"/>
      <c r="AR119" s="376"/>
      <c r="AS119" s="376"/>
      <c r="AT119" s="376"/>
    </row>
    <row r="120" spans="1:46" s="124" customFormat="1">
      <c r="A120" s="682">
        <v>7891721012976</v>
      </c>
      <c r="B120" s="353">
        <v>1008903870070</v>
      </c>
      <c r="C120" s="128" t="s">
        <v>402</v>
      </c>
      <c r="D120" s="216" t="s">
        <v>628</v>
      </c>
      <c r="E120" s="271">
        <f>K120</f>
        <v>28.871856000000001</v>
      </c>
      <c r="F120" s="261">
        <f>VLOOKUP($A120,[1]Planilha!$A$18:$BK$553,54,FALSE)</f>
        <v>29.23</v>
      </c>
      <c r="G120" s="261">
        <f t="shared" si="66"/>
        <v>-0.35814399999999935</v>
      </c>
      <c r="H120" s="271">
        <f t="shared" si="115"/>
        <v>39.909999999999997</v>
      </c>
      <c r="I120" s="261">
        <f>VLOOKUP($A120,[1]Planilha!$A$18:$BK$553,62,FALSE)</f>
        <v>40.909999999999997</v>
      </c>
      <c r="J120" s="261">
        <f t="shared" si="68"/>
        <v>-1</v>
      </c>
      <c r="K120" s="273">
        <f>VLOOKUP(A120,[2]Plan1!$H$2:$J$279,3,FALSE)</f>
        <v>28.871856000000001</v>
      </c>
      <c r="L120" s="261">
        <f>VLOOKUP($A120,[1]Planilha!$A$18:$BK$553,52,FALSE)</f>
        <v>28.87</v>
      </c>
      <c r="M120" s="261">
        <f t="shared" si="69"/>
        <v>1.8560000000000798E-3</v>
      </c>
      <c r="N120" s="271">
        <f t="shared" si="116"/>
        <v>39.909999999999997</v>
      </c>
      <c r="O120" s="261">
        <f>VLOOKUP($A120,[1]Planilha!$A$18:$BK$553,60,FALSE)</f>
        <v>39.909999999999997</v>
      </c>
      <c r="P120" s="261">
        <f t="shared" si="70"/>
        <v>0</v>
      </c>
      <c r="Q120" s="271">
        <f t="shared" si="117"/>
        <v>28.7</v>
      </c>
      <c r="R120" s="261">
        <f>VLOOKUP($A120,[1]Planilha!$A$18:$BK$553,51,FALSE)</f>
        <v>28.7</v>
      </c>
      <c r="S120" s="261">
        <f t="shared" si="71"/>
        <v>0</v>
      </c>
      <c r="T120" s="271">
        <f t="shared" si="118"/>
        <v>39.68</v>
      </c>
      <c r="U120" s="261">
        <f>VLOOKUP($A120,[1]Planilha!$A$18:$BK$553,59,FALSE)</f>
        <v>39.68</v>
      </c>
      <c r="V120" s="261">
        <f t="shared" si="72"/>
        <v>0</v>
      </c>
      <c r="W120" s="271">
        <f t="shared" si="109"/>
        <v>28.52</v>
      </c>
      <c r="X120" s="261">
        <f>VLOOKUP($A120,[1]Planilha!$A$18:$BK$553,50,FALSE)</f>
        <v>28.52</v>
      </c>
      <c r="Y120" s="261">
        <f t="shared" si="73"/>
        <v>0</v>
      </c>
      <c r="Z120" s="271">
        <f t="shared" si="106"/>
        <v>39.43</v>
      </c>
      <c r="AA120" s="261">
        <f>VLOOKUP($A120,[1]Planilha!$A$18:$BK$553,58,FALSE)</f>
        <v>39.43</v>
      </c>
      <c r="AB120" s="261">
        <f t="shared" si="74"/>
        <v>0</v>
      </c>
      <c r="AC120" s="271">
        <f t="shared" si="107"/>
        <v>26.9</v>
      </c>
      <c r="AD120" s="261">
        <f>VLOOKUP($A120,[1]Planilha!$A$18:$BK$553,49,FALSE)</f>
        <v>26.9</v>
      </c>
      <c r="AE120" s="261">
        <f t="shared" si="75"/>
        <v>0</v>
      </c>
      <c r="AF120" s="272">
        <f t="shared" si="108"/>
        <v>37.19</v>
      </c>
      <c r="AG120" s="261">
        <f>VLOOKUP($A120,[1]Planilha!$A$18:$BK$553,57,FALSE)</f>
        <v>37.19</v>
      </c>
      <c r="AH120" s="261">
        <f t="shared" si="76"/>
        <v>0</v>
      </c>
      <c r="AI120" s="376"/>
      <c r="AJ120" s="376"/>
      <c r="AK120" s="376"/>
      <c r="AL120" s="376"/>
      <c r="AM120" s="376"/>
      <c r="AN120" s="376"/>
      <c r="AO120" s="376"/>
      <c r="AP120" s="376"/>
      <c r="AQ120" s="376"/>
      <c r="AR120" s="376"/>
      <c r="AS120" s="376"/>
      <c r="AT120" s="376"/>
    </row>
    <row r="121" spans="1:46" s="124" customFormat="1" ht="15">
      <c r="A121" s="414"/>
      <c r="B121" s="105" t="s">
        <v>412</v>
      </c>
      <c r="C121" s="105"/>
      <c r="D121" s="106"/>
      <c r="E121" s="186"/>
      <c r="F121" s="261" t="e">
        <f>VLOOKUP($A121,[1]Planilha!$A$18:$BK$553,54,FALSE)</f>
        <v>#N/A</v>
      </c>
      <c r="G121" s="261" t="e">
        <f t="shared" si="66"/>
        <v>#N/A</v>
      </c>
      <c r="H121" s="187"/>
      <c r="I121" s="261" t="e">
        <f>VLOOKUP($A121,[1]Planilha!$A$18:$BK$553,62,FALSE)</f>
        <v>#N/A</v>
      </c>
      <c r="J121" s="261" t="e">
        <f t="shared" si="68"/>
        <v>#N/A</v>
      </c>
      <c r="K121" s="186"/>
      <c r="L121" s="261" t="e">
        <f>VLOOKUP($A121,[1]Planilha!$A$18:$BK$553,52,FALSE)</f>
        <v>#N/A</v>
      </c>
      <c r="M121" s="261" t="e">
        <f t="shared" si="69"/>
        <v>#N/A</v>
      </c>
      <c r="N121" s="187"/>
      <c r="O121" s="261" t="e">
        <f>VLOOKUP($A121,[1]Planilha!$A$18:$BK$553,60,FALSE)</f>
        <v>#N/A</v>
      </c>
      <c r="P121" s="261" t="e">
        <f t="shared" si="70"/>
        <v>#N/A</v>
      </c>
      <c r="Q121" s="186"/>
      <c r="R121" s="261" t="e">
        <f>VLOOKUP($A121,[1]Planilha!$A$18:$BK$553,51,FALSE)</f>
        <v>#N/A</v>
      </c>
      <c r="S121" s="261" t="e">
        <f t="shared" si="71"/>
        <v>#N/A</v>
      </c>
      <c r="T121" s="187"/>
      <c r="U121" s="261" t="e">
        <f>VLOOKUP($A121,[1]Planilha!$A$18:$BK$553,59,FALSE)</f>
        <v>#N/A</v>
      </c>
      <c r="V121" s="261" t="e">
        <f t="shared" si="72"/>
        <v>#N/A</v>
      </c>
      <c r="W121" s="186"/>
      <c r="X121" s="261" t="e">
        <f>VLOOKUP($A121,[1]Planilha!$A$18:$BK$553,50,FALSE)</f>
        <v>#N/A</v>
      </c>
      <c r="Y121" s="261" t="e">
        <f t="shared" si="73"/>
        <v>#N/A</v>
      </c>
      <c r="Z121" s="187"/>
      <c r="AA121" s="261" t="e">
        <f>VLOOKUP($A121,[1]Planilha!$A$18:$BK$553,58,FALSE)</f>
        <v>#N/A</v>
      </c>
      <c r="AB121" s="261" t="e">
        <f t="shared" si="74"/>
        <v>#N/A</v>
      </c>
      <c r="AC121" s="186"/>
      <c r="AD121" s="261" t="e">
        <f>VLOOKUP($A121,[1]Planilha!$A$18:$BK$553,49,FALSE)</f>
        <v>#N/A</v>
      </c>
      <c r="AE121" s="261" t="e">
        <f t="shared" si="75"/>
        <v>#N/A</v>
      </c>
      <c r="AF121" s="190"/>
      <c r="AG121" s="261" t="e">
        <f>VLOOKUP($A121,[1]Planilha!$A$18:$BK$553,57,FALSE)</f>
        <v>#N/A</v>
      </c>
      <c r="AH121" s="261" t="e">
        <f t="shared" si="76"/>
        <v>#N/A</v>
      </c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</row>
    <row r="122" spans="1:46" s="124" customFormat="1" ht="13.5" thickBot="1">
      <c r="A122" s="681">
        <v>7891721017261</v>
      </c>
      <c r="B122" s="135">
        <v>1008903300029</v>
      </c>
      <c r="C122" s="116" t="s">
        <v>413</v>
      </c>
      <c r="D122" s="329" t="s">
        <v>414</v>
      </c>
      <c r="E122" s="330">
        <f>ROUND(K122*1.025,2)</f>
        <v>114.23</v>
      </c>
      <c r="F122" s="261">
        <f>VLOOKUP($A122,[1]Planilha!$A$18:$BK$553,54,FALSE)</f>
        <v>112.82</v>
      </c>
      <c r="G122" s="261">
        <f t="shared" si="66"/>
        <v>1.4100000000000108</v>
      </c>
      <c r="H122" s="330">
        <f>ROUND(E122/0.723358,2)</f>
        <v>157.91999999999999</v>
      </c>
      <c r="I122" s="261">
        <f>VLOOKUP($A122,[1]Planilha!$A$18:$BK$553,62,FALSE)</f>
        <v>157.91999999999999</v>
      </c>
      <c r="J122" s="261">
        <f t="shared" si="68"/>
        <v>0</v>
      </c>
      <c r="K122" s="330">
        <f>VLOOKUP(A122,[2]Plan1!$H$2:$J$279,3,FALSE)</f>
        <v>111.44532000000001</v>
      </c>
      <c r="L122" s="261">
        <f>VLOOKUP($A122,[1]Planilha!$A$18:$BK$553,52,FALSE)</f>
        <v>111.45</v>
      </c>
      <c r="M122" s="261">
        <f t="shared" si="69"/>
        <v>-4.6799999999933561E-3</v>
      </c>
      <c r="N122" s="330">
        <f>ROUND(K122/0.723358,2)</f>
        <v>154.07</v>
      </c>
      <c r="O122" s="261">
        <f>VLOOKUP($A122,[1]Planilha!$A$18:$BK$553,60,FALSE)</f>
        <v>154.07</v>
      </c>
      <c r="P122" s="261">
        <f t="shared" si="70"/>
        <v>0</v>
      </c>
      <c r="Q122" s="330">
        <f>ROUND(K122*0.993939,2)</f>
        <v>110.77</v>
      </c>
      <c r="R122" s="261">
        <f>VLOOKUP($A122,[1]Planilha!$A$18:$BK$553,51,FALSE)</f>
        <v>110.77</v>
      </c>
      <c r="S122" s="261">
        <f t="shared" si="71"/>
        <v>0</v>
      </c>
      <c r="T122" s="330">
        <f>ROUND(Q122/0.723358,2)</f>
        <v>153.13</v>
      </c>
      <c r="U122" s="261">
        <f>VLOOKUP($A122,[1]Planilha!$A$18:$BK$553,59,FALSE)</f>
        <v>153.13</v>
      </c>
      <c r="V122" s="261">
        <f t="shared" si="72"/>
        <v>0</v>
      </c>
      <c r="W122" s="330">
        <f t="shared" si="109"/>
        <v>110.1</v>
      </c>
      <c r="X122" s="261">
        <f>VLOOKUP($A122,[1]Planilha!$A$18:$BK$553,50,FALSE)</f>
        <v>110.1</v>
      </c>
      <c r="Y122" s="261">
        <f t="shared" si="73"/>
        <v>0</v>
      </c>
      <c r="Z122" s="330">
        <f t="shared" si="106"/>
        <v>152.21</v>
      </c>
      <c r="AA122" s="261">
        <f>VLOOKUP($A122,[1]Planilha!$A$18:$BK$553,58,FALSE)</f>
        <v>152.21</v>
      </c>
      <c r="AB122" s="261">
        <f t="shared" si="74"/>
        <v>0</v>
      </c>
      <c r="AC122" s="330">
        <f t="shared" si="107"/>
        <v>103.85</v>
      </c>
      <c r="AD122" s="261">
        <f>VLOOKUP($A122,[1]Planilha!$A$18:$BK$553,49,FALSE)</f>
        <v>103.85</v>
      </c>
      <c r="AE122" s="261">
        <f t="shared" si="75"/>
        <v>0</v>
      </c>
      <c r="AF122" s="331">
        <f t="shared" si="108"/>
        <v>143.57</v>
      </c>
      <c r="AG122" s="261">
        <f>VLOOKUP($A122,[1]Planilha!$A$18:$BK$553,57,FALSE)</f>
        <v>143.57</v>
      </c>
      <c r="AH122" s="261">
        <f t="shared" si="76"/>
        <v>0</v>
      </c>
      <c r="AI122" s="376"/>
      <c r="AJ122" s="376"/>
      <c r="AK122" s="376"/>
      <c r="AL122" s="376"/>
      <c r="AM122" s="376"/>
      <c r="AN122" s="376"/>
      <c r="AO122" s="376"/>
      <c r="AP122" s="376"/>
      <c r="AQ122" s="376"/>
      <c r="AR122" s="376"/>
      <c r="AS122" s="376"/>
      <c r="AT122" s="376"/>
    </row>
    <row r="123" spans="1:46" s="124" customFormat="1" ht="13.5" thickBot="1">
      <c r="A123" s="679"/>
      <c r="B123" s="170"/>
      <c r="C123" s="170"/>
      <c r="D123" s="171"/>
      <c r="E123" s="235"/>
      <c r="F123" s="261" t="e">
        <f>VLOOKUP($A123,[1]Planilha!$A$18:$BK$553,54,FALSE)</f>
        <v>#N/A</v>
      </c>
      <c r="G123" s="261" t="e">
        <f t="shared" si="66"/>
        <v>#N/A</v>
      </c>
      <c r="H123" s="236"/>
      <c r="I123" s="261" t="e">
        <f>VLOOKUP($A123,[1]Planilha!$A$18:$BK$553,62,FALSE)</f>
        <v>#N/A</v>
      </c>
      <c r="J123" s="261" t="e">
        <f t="shared" si="68"/>
        <v>#N/A</v>
      </c>
      <c r="K123" s="237"/>
      <c r="L123" s="261" t="e">
        <f>VLOOKUP($A123,[1]Planilha!$A$18:$BK$553,52,FALSE)</f>
        <v>#N/A</v>
      </c>
      <c r="M123" s="261" t="e">
        <f t="shared" si="69"/>
        <v>#N/A</v>
      </c>
      <c r="N123" s="236"/>
      <c r="O123" s="261" t="e">
        <f>VLOOKUP($A123,[1]Planilha!$A$18:$BK$553,60,FALSE)</f>
        <v>#N/A</v>
      </c>
      <c r="P123" s="261" t="e">
        <f t="shared" si="70"/>
        <v>#N/A</v>
      </c>
      <c r="Q123" s="238"/>
      <c r="R123" s="261" t="e">
        <f>VLOOKUP($A123,[1]Planilha!$A$18:$BK$553,51,FALSE)</f>
        <v>#N/A</v>
      </c>
      <c r="S123" s="261" t="e">
        <f t="shared" si="71"/>
        <v>#N/A</v>
      </c>
      <c r="T123" s="236"/>
      <c r="U123" s="261" t="e">
        <f>VLOOKUP($A123,[1]Planilha!$A$18:$BK$553,59,FALSE)</f>
        <v>#N/A</v>
      </c>
      <c r="V123" s="261" t="e">
        <f t="shared" si="72"/>
        <v>#N/A</v>
      </c>
      <c r="W123" s="238"/>
      <c r="X123" s="261" t="e">
        <f>VLOOKUP($A123,[1]Planilha!$A$18:$BK$553,50,FALSE)</f>
        <v>#N/A</v>
      </c>
      <c r="Y123" s="261" t="e">
        <f t="shared" si="73"/>
        <v>#N/A</v>
      </c>
      <c r="Z123" s="236"/>
      <c r="AA123" s="261" t="e">
        <f>VLOOKUP($A123,[1]Planilha!$A$18:$BK$553,58,FALSE)</f>
        <v>#N/A</v>
      </c>
      <c r="AB123" s="261" t="e">
        <f t="shared" si="74"/>
        <v>#N/A</v>
      </c>
      <c r="AC123" s="238"/>
      <c r="AD123" s="261" t="e">
        <f>VLOOKUP($A123,[1]Planilha!$A$18:$BK$553,49,FALSE)</f>
        <v>#N/A</v>
      </c>
      <c r="AE123" s="261" t="e">
        <f t="shared" si="75"/>
        <v>#N/A</v>
      </c>
      <c r="AF123" s="239"/>
      <c r="AG123" s="261" t="e">
        <f>VLOOKUP($A123,[1]Planilha!$A$18:$BK$553,57,FALSE)</f>
        <v>#N/A</v>
      </c>
      <c r="AH123" s="261" t="e">
        <f t="shared" si="76"/>
        <v>#N/A</v>
      </c>
      <c r="AI123" s="376"/>
      <c r="AJ123" s="376"/>
      <c r="AK123" s="376"/>
      <c r="AL123" s="376"/>
      <c r="AM123" s="376"/>
      <c r="AN123" s="376"/>
      <c r="AO123" s="376"/>
      <c r="AP123" s="376"/>
      <c r="AQ123" s="376"/>
      <c r="AR123" s="376"/>
      <c r="AS123" s="376"/>
      <c r="AT123" s="376"/>
    </row>
    <row r="124" spans="1:46" s="124" customFormat="1" ht="18.75" customHeight="1" thickBot="1">
      <c r="A124" s="680" t="s">
        <v>295</v>
      </c>
      <c r="B124" s="451" t="s">
        <v>294</v>
      </c>
      <c r="C124" s="452"/>
      <c r="D124" s="453"/>
      <c r="E124" s="454" t="s">
        <v>741</v>
      </c>
      <c r="F124" s="261" t="e">
        <f>VLOOKUP($A124,[1]Planilha!$A$18:$BK$553,54,FALSE)</f>
        <v>#N/A</v>
      </c>
      <c r="G124" s="261" t="e">
        <f t="shared" si="66"/>
        <v>#VALUE!</v>
      </c>
      <c r="H124" s="455"/>
      <c r="I124" s="261" t="e">
        <f>VLOOKUP($A124,[1]Planilha!$A$18:$BK$553,62,FALSE)</f>
        <v>#N/A</v>
      </c>
      <c r="J124" s="261" t="e">
        <f t="shared" si="68"/>
        <v>#N/A</v>
      </c>
      <c r="K124" s="454" t="s">
        <v>292</v>
      </c>
      <c r="L124" s="261" t="e">
        <f>VLOOKUP($A124,[1]Planilha!$A$18:$BK$553,52,FALSE)</f>
        <v>#N/A</v>
      </c>
      <c r="M124" s="261" t="e">
        <f t="shared" si="69"/>
        <v>#VALUE!</v>
      </c>
      <c r="N124" s="455"/>
      <c r="O124" s="261" t="e">
        <f>VLOOKUP($A124,[1]Planilha!$A$18:$BK$553,60,FALSE)</f>
        <v>#N/A</v>
      </c>
      <c r="P124" s="261" t="e">
        <f t="shared" si="70"/>
        <v>#N/A</v>
      </c>
      <c r="Q124" s="456" t="s">
        <v>740</v>
      </c>
      <c r="R124" s="261" t="e">
        <f>VLOOKUP($A124,[1]Planilha!$A$18:$BK$553,51,FALSE)</f>
        <v>#N/A</v>
      </c>
      <c r="S124" s="261" t="e">
        <f t="shared" si="71"/>
        <v>#VALUE!</v>
      </c>
      <c r="T124" s="455"/>
      <c r="U124" s="261" t="e">
        <f>VLOOKUP($A124,[1]Planilha!$A$18:$BK$553,59,FALSE)</f>
        <v>#N/A</v>
      </c>
      <c r="V124" s="261" t="e">
        <f t="shared" si="72"/>
        <v>#N/A</v>
      </c>
      <c r="W124" s="456" t="s">
        <v>293</v>
      </c>
      <c r="X124" s="261" t="e">
        <f>VLOOKUP($A124,[1]Planilha!$A$18:$BK$553,50,FALSE)</f>
        <v>#N/A</v>
      </c>
      <c r="Y124" s="261" t="e">
        <f t="shared" si="73"/>
        <v>#VALUE!</v>
      </c>
      <c r="Z124" s="455"/>
      <c r="AA124" s="261" t="e">
        <f>VLOOKUP($A124,[1]Planilha!$A$18:$BK$553,58,FALSE)</f>
        <v>#N/A</v>
      </c>
      <c r="AB124" s="261" t="e">
        <f t="shared" si="74"/>
        <v>#N/A</v>
      </c>
      <c r="AC124" s="456" t="s">
        <v>322</v>
      </c>
      <c r="AD124" s="261" t="e">
        <f>VLOOKUP($A124,[1]Planilha!$A$18:$BK$553,49,FALSE)</f>
        <v>#N/A</v>
      </c>
      <c r="AE124" s="261" t="e">
        <f t="shared" si="75"/>
        <v>#VALUE!</v>
      </c>
      <c r="AF124" s="459"/>
      <c r="AG124" s="261" t="e">
        <f>VLOOKUP($A124,[1]Planilha!$A$18:$BK$553,57,FALSE)</f>
        <v>#N/A</v>
      </c>
      <c r="AH124" s="261" t="e">
        <f t="shared" si="76"/>
        <v>#N/A</v>
      </c>
      <c r="AI124" s="376"/>
      <c r="AJ124" s="376"/>
      <c r="AK124" s="376"/>
      <c r="AL124" s="376"/>
      <c r="AM124" s="376"/>
      <c r="AN124" s="376"/>
      <c r="AO124" s="376"/>
      <c r="AP124" s="376"/>
      <c r="AQ124" s="376"/>
      <c r="AR124" s="376"/>
      <c r="AS124" s="376"/>
      <c r="AT124" s="376"/>
    </row>
    <row r="125" spans="1:46" s="124" customFormat="1" ht="12.75" customHeight="1">
      <c r="A125" s="449" t="s">
        <v>296</v>
      </c>
      <c r="B125" s="115" t="s">
        <v>13</v>
      </c>
      <c r="C125" s="119" t="s">
        <v>83</v>
      </c>
      <c r="D125" s="101"/>
      <c r="E125" s="254" t="s">
        <v>81</v>
      </c>
      <c r="F125" s="261" t="e">
        <f>VLOOKUP($A125,[1]Planilha!$A$18:$BK$553,54,FALSE)</f>
        <v>#N/A</v>
      </c>
      <c r="G125" s="261" t="e">
        <f t="shared" si="66"/>
        <v>#VALUE!</v>
      </c>
      <c r="H125" s="255" t="s">
        <v>82</v>
      </c>
      <c r="I125" s="261" t="e">
        <f>VLOOKUP($A125,[1]Planilha!$A$18:$BK$553,62,FALSE)</f>
        <v>#N/A</v>
      </c>
      <c r="J125" s="261" t="e">
        <f t="shared" si="68"/>
        <v>#VALUE!</v>
      </c>
      <c r="K125" s="254" t="s">
        <v>81</v>
      </c>
      <c r="L125" s="261" t="e">
        <f>VLOOKUP($A125,[1]Planilha!$A$18:$BK$553,52,FALSE)</f>
        <v>#N/A</v>
      </c>
      <c r="M125" s="261" t="e">
        <f t="shared" si="69"/>
        <v>#VALUE!</v>
      </c>
      <c r="N125" s="255" t="s">
        <v>82</v>
      </c>
      <c r="O125" s="261" t="e">
        <f>VLOOKUP($A125,[1]Planilha!$A$18:$BK$553,60,FALSE)</f>
        <v>#N/A</v>
      </c>
      <c r="P125" s="261" t="e">
        <f t="shared" si="70"/>
        <v>#VALUE!</v>
      </c>
      <c r="Q125" s="254" t="s">
        <v>81</v>
      </c>
      <c r="R125" s="261" t="e">
        <f>VLOOKUP($A125,[1]Planilha!$A$18:$BK$553,51,FALSE)</f>
        <v>#N/A</v>
      </c>
      <c r="S125" s="261" t="e">
        <f t="shared" si="71"/>
        <v>#VALUE!</v>
      </c>
      <c r="T125" s="255" t="s">
        <v>82</v>
      </c>
      <c r="U125" s="261" t="e">
        <f>VLOOKUP($A125,[1]Planilha!$A$18:$BK$553,59,FALSE)</f>
        <v>#N/A</v>
      </c>
      <c r="V125" s="261" t="e">
        <f t="shared" si="72"/>
        <v>#VALUE!</v>
      </c>
      <c r="W125" s="254" t="s">
        <v>81</v>
      </c>
      <c r="X125" s="261" t="e">
        <f>VLOOKUP($A125,[1]Planilha!$A$18:$BK$553,50,FALSE)</f>
        <v>#N/A</v>
      </c>
      <c r="Y125" s="261" t="e">
        <f t="shared" si="73"/>
        <v>#VALUE!</v>
      </c>
      <c r="Z125" s="255" t="s">
        <v>82</v>
      </c>
      <c r="AA125" s="261" t="e">
        <f>VLOOKUP($A125,[1]Planilha!$A$18:$BK$553,58,FALSE)</f>
        <v>#N/A</v>
      </c>
      <c r="AB125" s="261" t="e">
        <f t="shared" si="74"/>
        <v>#VALUE!</v>
      </c>
      <c r="AC125" s="254" t="s">
        <v>81</v>
      </c>
      <c r="AD125" s="261" t="e">
        <f>VLOOKUP($A125,[1]Planilha!$A$18:$BK$553,49,FALSE)</f>
        <v>#N/A</v>
      </c>
      <c r="AE125" s="261" t="e">
        <f t="shared" si="75"/>
        <v>#VALUE!</v>
      </c>
      <c r="AF125" s="256" t="s">
        <v>82</v>
      </c>
      <c r="AG125" s="261" t="e">
        <f>VLOOKUP($A125,[1]Planilha!$A$18:$BK$553,57,FALSE)</f>
        <v>#N/A</v>
      </c>
      <c r="AH125" s="261" t="e">
        <f t="shared" si="76"/>
        <v>#VALUE!</v>
      </c>
      <c r="AI125" s="376"/>
      <c r="AJ125" s="376"/>
      <c r="AK125" s="376"/>
      <c r="AL125" s="376"/>
      <c r="AM125" s="376"/>
      <c r="AN125" s="376"/>
      <c r="AO125" s="376"/>
      <c r="AP125" s="376"/>
      <c r="AQ125" s="376"/>
      <c r="AR125" s="376"/>
      <c r="AS125" s="376"/>
      <c r="AT125" s="376"/>
    </row>
    <row r="126" spans="1:46" s="124" customFormat="1" ht="13.5" customHeight="1" thickBot="1">
      <c r="A126" s="450"/>
      <c r="B126" s="155" t="s">
        <v>14</v>
      </c>
      <c r="C126" s="156" t="s">
        <v>379</v>
      </c>
      <c r="D126" s="157" t="s">
        <v>84</v>
      </c>
      <c r="E126" s="257" t="s">
        <v>85</v>
      </c>
      <c r="F126" s="261" t="e">
        <f>VLOOKUP($A126,[1]Planilha!$A$18:$BK$553,54,FALSE)</f>
        <v>#N/A</v>
      </c>
      <c r="G126" s="261" t="e">
        <f t="shared" si="66"/>
        <v>#VALUE!</v>
      </c>
      <c r="H126" s="258" t="s">
        <v>297</v>
      </c>
      <c r="I126" s="261" t="e">
        <f>VLOOKUP($A126,[1]Planilha!$A$18:$BK$553,62,FALSE)</f>
        <v>#N/A</v>
      </c>
      <c r="J126" s="261" t="e">
        <f t="shared" si="68"/>
        <v>#VALUE!</v>
      </c>
      <c r="K126" s="257" t="s">
        <v>85</v>
      </c>
      <c r="L126" s="261" t="e">
        <f>VLOOKUP($A126,[1]Planilha!$A$18:$BK$553,52,FALSE)</f>
        <v>#N/A</v>
      </c>
      <c r="M126" s="261" t="e">
        <f t="shared" si="69"/>
        <v>#VALUE!</v>
      </c>
      <c r="N126" s="258" t="s">
        <v>297</v>
      </c>
      <c r="O126" s="261" t="e">
        <f>VLOOKUP($A126,[1]Planilha!$A$18:$BK$553,60,FALSE)</f>
        <v>#N/A</v>
      </c>
      <c r="P126" s="261" t="e">
        <f t="shared" si="70"/>
        <v>#VALUE!</v>
      </c>
      <c r="Q126" s="257" t="s">
        <v>85</v>
      </c>
      <c r="R126" s="261" t="e">
        <f>VLOOKUP($A126,[1]Planilha!$A$18:$BK$553,51,FALSE)</f>
        <v>#N/A</v>
      </c>
      <c r="S126" s="261" t="e">
        <f t="shared" si="71"/>
        <v>#VALUE!</v>
      </c>
      <c r="T126" s="258" t="s">
        <v>297</v>
      </c>
      <c r="U126" s="261" t="e">
        <f>VLOOKUP($A126,[1]Planilha!$A$18:$BK$553,59,FALSE)</f>
        <v>#N/A</v>
      </c>
      <c r="V126" s="261" t="e">
        <f t="shared" si="72"/>
        <v>#VALUE!</v>
      </c>
      <c r="W126" s="257" t="s">
        <v>85</v>
      </c>
      <c r="X126" s="261" t="e">
        <f>VLOOKUP($A126,[1]Planilha!$A$18:$BK$553,50,FALSE)</f>
        <v>#N/A</v>
      </c>
      <c r="Y126" s="261" t="e">
        <f t="shared" si="73"/>
        <v>#VALUE!</v>
      </c>
      <c r="Z126" s="258" t="s">
        <v>297</v>
      </c>
      <c r="AA126" s="261" t="e">
        <f>VLOOKUP($A126,[1]Planilha!$A$18:$BK$553,58,FALSE)</f>
        <v>#N/A</v>
      </c>
      <c r="AB126" s="261" t="e">
        <f t="shared" si="74"/>
        <v>#VALUE!</v>
      </c>
      <c r="AC126" s="257" t="s">
        <v>85</v>
      </c>
      <c r="AD126" s="261" t="e">
        <f>VLOOKUP($A126,[1]Planilha!$A$18:$BK$553,49,FALSE)</f>
        <v>#N/A</v>
      </c>
      <c r="AE126" s="261" t="e">
        <f t="shared" si="75"/>
        <v>#VALUE!</v>
      </c>
      <c r="AF126" s="259" t="s">
        <v>297</v>
      </c>
      <c r="AG126" s="261" t="e">
        <f>VLOOKUP($A126,[1]Planilha!$A$18:$BK$553,57,FALSE)</f>
        <v>#N/A</v>
      </c>
      <c r="AH126" s="261" t="e">
        <f t="shared" si="76"/>
        <v>#VALUE!</v>
      </c>
      <c r="AI126" s="376"/>
      <c r="AJ126" s="376"/>
      <c r="AK126" s="376"/>
      <c r="AL126" s="376"/>
      <c r="AM126" s="376"/>
      <c r="AN126" s="376"/>
      <c r="AO126" s="376"/>
      <c r="AP126" s="376"/>
      <c r="AQ126" s="376"/>
      <c r="AR126" s="376"/>
      <c r="AS126" s="376"/>
      <c r="AT126" s="376"/>
    </row>
    <row r="127" spans="1:46" s="124" customFormat="1" ht="15">
      <c r="A127" s="414"/>
      <c r="B127" s="105" t="s">
        <v>568</v>
      </c>
      <c r="C127" s="105"/>
      <c r="D127" s="106"/>
      <c r="E127" s="184"/>
      <c r="F127" s="261" t="e">
        <f>VLOOKUP($A127,[1]Planilha!$A$18:$BK$553,54,FALSE)</f>
        <v>#N/A</v>
      </c>
      <c r="G127" s="261" t="e">
        <f t="shared" si="66"/>
        <v>#N/A</v>
      </c>
      <c r="H127" s="185"/>
      <c r="I127" s="261" t="e">
        <f>VLOOKUP($A127,[1]Planilha!$A$18:$BK$553,62,FALSE)</f>
        <v>#N/A</v>
      </c>
      <c r="J127" s="261" t="e">
        <f t="shared" si="68"/>
        <v>#N/A</v>
      </c>
      <c r="K127" s="184"/>
      <c r="L127" s="261" t="e">
        <f>VLOOKUP($A127,[1]Planilha!$A$18:$BK$553,52,FALSE)</f>
        <v>#N/A</v>
      </c>
      <c r="M127" s="261" t="e">
        <f t="shared" si="69"/>
        <v>#N/A</v>
      </c>
      <c r="N127" s="187"/>
      <c r="O127" s="261" t="e">
        <f>VLOOKUP($A127,[1]Planilha!$A$18:$BK$553,60,FALSE)</f>
        <v>#N/A</v>
      </c>
      <c r="P127" s="261" t="e">
        <f t="shared" si="70"/>
        <v>#N/A</v>
      </c>
      <c r="Q127" s="184"/>
      <c r="R127" s="261" t="e">
        <f>VLOOKUP($A127,[1]Planilha!$A$18:$BK$553,51,FALSE)</f>
        <v>#N/A</v>
      </c>
      <c r="S127" s="261" t="e">
        <f t="shared" si="71"/>
        <v>#N/A</v>
      </c>
      <c r="T127" s="185"/>
      <c r="U127" s="261" t="e">
        <f>VLOOKUP($A127,[1]Planilha!$A$18:$BK$553,59,FALSE)</f>
        <v>#N/A</v>
      </c>
      <c r="V127" s="261" t="e">
        <f t="shared" si="72"/>
        <v>#N/A</v>
      </c>
      <c r="W127" s="184"/>
      <c r="X127" s="261" t="e">
        <f>VLOOKUP($A127,[1]Planilha!$A$18:$BK$553,50,FALSE)</f>
        <v>#N/A</v>
      </c>
      <c r="Y127" s="261" t="e">
        <f t="shared" si="73"/>
        <v>#N/A</v>
      </c>
      <c r="Z127" s="185"/>
      <c r="AA127" s="261" t="e">
        <f>VLOOKUP($A127,[1]Planilha!$A$18:$BK$553,58,FALSE)</f>
        <v>#N/A</v>
      </c>
      <c r="AB127" s="261" t="e">
        <f t="shared" si="74"/>
        <v>#N/A</v>
      </c>
      <c r="AC127" s="184"/>
      <c r="AD127" s="261" t="e">
        <f>VLOOKUP($A127,[1]Planilha!$A$18:$BK$553,49,FALSE)</f>
        <v>#N/A</v>
      </c>
      <c r="AE127" s="261" t="e">
        <f t="shared" si="75"/>
        <v>#N/A</v>
      </c>
      <c r="AF127" s="192"/>
      <c r="AG127" s="261" t="e">
        <f>VLOOKUP($A127,[1]Planilha!$A$18:$BK$553,57,FALSE)</f>
        <v>#N/A</v>
      </c>
      <c r="AH127" s="261" t="e">
        <f t="shared" si="76"/>
        <v>#N/A</v>
      </c>
      <c r="AI127" s="376"/>
      <c r="AJ127" s="376"/>
      <c r="AK127" s="376"/>
      <c r="AL127" s="376"/>
      <c r="AM127" s="376"/>
      <c r="AN127" s="376"/>
      <c r="AO127" s="376"/>
      <c r="AP127" s="376"/>
      <c r="AQ127" s="376"/>
      <c r="AR127" s="376"/>
      <c r="AS127" s="376"/>
      <c r="AT127" s="376"/>
    </row>
    <row r="128" spans="1:46" s="124" customFormat="1" ht="13.5" thickBot="1">
      <c r="A128" s="233">
        <v>7891721024641</v>
      </c>
      <c r="B128" s="126" t="s">
        <v>56</v>
      </c>
      <c r="C128" s="211" t="s">
        <v>567</v>
      </c>
      <c r="D128" s="214" t="s">
        <v>710</v>
      </c>
      <c r="E128" s="269">
        <f>ROUND(K128*1.028952,2)</f>
        <v>39.33</v>
      </c>
      <c r="F128" s="261">
        <f>VLOOKUP($A128,[1]Planilha!$A$18:$BK$553,54,FALSE)</f>
        <v>38.770000000000003</v>
      </c>
      <c r="G128" s="261">
        <f t="shared" si="66"/>
        <v>0.55999999999999517</v>
      </c>
      <c r="H128" s="269">
        <f>ROUND(E128/0.751296,2)</f>
        <v>52.35</v>
      </c>
      <c r="I128" s="261">
        <f>VLOOKUP($A128,[1]Planilha!$A$18:$BK$553,62,FALSE)</f>
        <v>52.35</v>
      </c>
      <c r="J128" s="261">
        <f t="shared" si="68"/>
        <v>0</v>
      </c>
      <c r="K128" s="269">
        <f>VLOOKUP(A128,[2]Plan1!$H$2:$J$279,3,FALSE)</f>
        <v>38.222856</v>
      </c>
      <c r="L128" s="261">
        <f>VLOOKUP($A128,[1]Planilha!$A$18:$BK$553,52,FALSE)</f>
        <v>38.22</v>
      </c>
      <c r="M128" s="261">
        <f t="shared" si="69"/>
        <v>2.8560000000013019E-3</v>
      </c>
      <c r="N128" s="269">
        <f>ROUND(K128/0.750577,2)</f>
        <v>50.92</v>
      </c>
      <c r="O128" s="261">
        <f>VLOOKUP($A128,[1]Planilha!$A$18:$BK$553,60,FALSE)</f>
        <v>50.92</v>
      </c>
      <c r="P128" s="261">
        <f t="shared" si="70"/>
        <v>0</v>
      </c>
      <c r="Q128" s="269">
        <f>ROUND(K128*0.993015,2)</f>
        <v>37.96</v>
      </c>
      <c r="R128" s="261">
        <f>VLOOKUP($A128,[1]Planilha!$A$18:$BK$553,51,FALSE)</f>
        <v>37.96</v>
      </c>
      <c r="S128" s="261">
        <f t="shared" si="71"/>
        <v>0</v>
      </c>
      <c r="T128" s="269">
        <f>ROUND(Q128/0.750402,2)</f>
        <v>50.59</v>
      </c>
      <c r="U128" s="261">
        <f>VLOOKUP($A128,[1]Planilha!$A$18:$BK$553,59,FALSE)</f>
        <v>50.59</v>
      </c>
      <c r="V128" s="261">
        <f t="shared" si="72"/>
        <v>0</v>
      </c>
      <c r="W128" s="269">
        <f>ROUND(K128*0.986128,2)</f>
        <v>37.69</v>
      </c>
      <c r="X128" s="261">
        <f>VLOOKUP($A128,[1]Planilha!$A$18:$BK$553,50,FALSE)</f>
        <v>37.69</v>
      </c>
      <c r="Y128" s="261">
        <f t="shared" si="73"/>
        <v>0</v>
      </c>
      <c r="Z128" s="269">
        <f>ROUND(W128/0.75023,2)</f>
        <v>50.24</v>
      </c>
      <c r="AA128" s="261">
        <f>VLOOKUP($A128,[1]Planilha!$A$18:$BK$553,58,FALSE)</f>
        <v>50.24</v>
      </c>
      <c r="AB128" s="261">
        <f t="shared" si="74"/>
        <v>0</v>
      </c>
      <c r="AC128" s="269">
        <f>ROUND(K128*0.922175,2)</f>
        <v>35.25</v>
      </c>
      <c r="AD128" s="261">
        <f>VLOOKUP($A128,[1]Planilha!$A$18:$BK$553,49,FALSE)</f>
        <v>35.25</v>
      </c>
      <c r="AE128" s="261">
        <f t="shared" si="75"/>
        <v>0</v>
      </c>
      <c r="AF128" s="270">
        <f>ROUND(AC128/0.748624,2)</f>
        <v>47.09</v>
      </c>
      <c r="AG128" s="261">
        <f>VLOOKUP($A128,[1]Planilha!$A$18:$BK$553,57,FALSE)</f>
        <v>47.09</v>
      </c>
      <c r="AH128" s="261">
        <f t="shared" si="76"/>
        <v>0</v>
      </c>
      <c r="AI128" s="376"/>
      <c r="AJ128" s="376"/>
      <c r="AK128" s="376"/>
      <c r="AL128" s="376"/>
      <c r="AM128" s="376"/>
      <c r="AN128" s="376"/>
      <c r="AO128" s="376"/>
      <c r="AP128" s="376"/>
      <c r="AQ128" s="376"/>
      <c r="AR128" s="376"/>
      <c r="AS128" s="376"/>
      <c r="AT128" s="376"/>
    </row>
    <row r="129" spans="1:46" s="124" customFormat="1" ht="13.5" thickBot="1">
      <c r="A129" s="679"/>
      <c r="B129" s="170"/>
      <c r="C129" s="170"/>
      <c r="D129" s="171"/>
      <c r="E129" s="235"/>
      <c r="F129" s="261" t="e">
        <f>VLOOKUP($A129,[1]Planilha!$A$18:$BK$553,54,FALSE)</f>
        <v>#N/A</v>
      </c>
      <c r="G129" s="261" t="e">
        <f t="shared" si="66"/>
        <v>#N/A</v>
      </c>
      <c r="H129" s="236"/>
      <c r="I129" s="261" t="e">
        <f>VLOOKUP($A129,[1]Planilha!$A$18:$BK$553,62,FALSE)</f>
        <v>#N/A</v>
      </c>
      <c r="J129" s="261" t="e">
        <f t="shared" si="68"/>
        <v>#N/A</v>
      </c>
      <c r="K129" s="237"/>
      <c r="L129" s="261" t="e">
        <f>VLOOKUP($A129,[1]Planilha!$A$18:$BK$553,52,FALSE)</f>
        <v>#N/A</v>
      </c>
      <c r="M129" s="261" t="e">
        <f t="shared" si="69"/>
        <v>#N/A</v>
      </c>
      <c r="N129" s="236"/>
      <c r="O129" s="261" t="e">
        <f>VLOOKUP($A129,[1]Planilha!$A$18:$BK$553,60,FALSE)</f>
        <v>#N/A</v>
      </c>
      <c r="P129" s="261" t="e">
        <f t="shared" si="70"/>
        <v>#N/A</v>
      </c>
      <c r="Q129" s="238"/>
      <c r="R129" s="261" t="e">
        <f>VLOOKUP($A129,[1]Planilha!$A$18:$BK$553,51,FALSE)</f>
        <v>#N/A</v>
      </c>
      <c r="S129" s="261" t="e">
        <f t="shared" si="71"/>
        <v>#N/A</v>
      </c>
      <c r="T129" s="236"/>
      <c r="U129" s="261" t="e">
        <f>VLOOKUP($A129,[1]Planilha!$A$18:$BK$553,59,FALSE)</f>
        <v>#N/A</v>
      </c>
      <c r="V129" s="261" t="e">
        <f t="shared" si="72"/>
        <v>#N/A</v>
      </c>
      <c r="W129" s="238"/>
      <c r="X129" s="261" t="e">
        <f>VLOOKUP($A129,[1]Planilha!$A$18:$BK$553,50,FALSE)</f>
        <v>#N/A</v>
      </c>
      <c r="Y129" s="261" t="e">
        <f t="shared" si="73"/>
        <v>#N/A</v>
      </c>
      <c r="Z129" s="236"/>
      <c r="AA129" s="261" t="e">
        <f>VLOOKUP($A129,[1]Planilha!$A$18:$BK$553,58,FALSE)</f>
        <v>#N/A</v>
      </c>
      <c r="AB129" s="261" t="e">
        <f t="shared" si="74"/>
        <v>#N/A</v>
      </c>
      <c r="AC129" s="238"/>
      <c r="AD129" s="261" t="e">
        <f>VLOOKUP($A129,[1]Planilha!$A$18:$BK$553,49,FALSE)</f>
        <v>#N/A</v>
      </c>
      <c r="AE129" s="261" t="e">
        <f t="shared" si="75"/>
        <v>#N/A</v>
      </c>
      <c r="AF129" s="239"/>
      <c r="AG129" s="261" t="e">
        <f>VLOOKUP($A129,[1]Planilha!$A$18:$BK$553,57,FALSE)</f>
        <v>#N/A</v>
      </c>
      <c r="AH129" s="261" t="e">
        <f t="shared" si="76"/>
        <v>#N/A</v>
      </c>
      <c r="AI129" s="376"/>
      <c r="AJ129" s="376"/>
      <c r="AK129" s="376"/>
      <c r="AL129" s="376"/>
      <c r="AM129" s="376"/>
      <c r="AN129" s="376"/>
      <c r="AO129" s="376"/>
      <c r="AP129" s="376"/>
      <c r="AQ129" s="376"/>
      <c r="AR129" s="376"/>
      <c r="AS129" s="376"/>
      <c r="AT129" s="376"/>
    </row>
    <row r="130" spans="1:46" s="124" customFormat="1" ht="18.75" customHeight="1" thickBot="1">
      <c r="A130" s="680" t="s">
        <v>295</v>
      </c>
      <c r="B130" s="451" t="s">
        <v>378</v>
      </c>
      <c r="C130" s="452"/>
      <c r="D130" s="453"/>
      <c r="E130" s="454" t="s">
        <v>741</v>
      </c>
      <c r="F130" s="261" t="e">
        <f>VLOOKUP($A130,[1]Planilha!$A$18:$BK$553,54,FALSE)</f>
        <v>#N/A</v>
      </c>
      <c r="G130" s="261" t="e">
        <f t="shared" si="66"/>
        <v>#VALUE!</v>
      </c>
      <c r="H130" s="455"/>
      <c r="I130" s="261" t="e">
        <f>VLOOKUP($A130,[1]Planilha!$A$18:$BK$553,62,FALSE)</f>
        <v>#N/A</v>
      </c>
      <c r="J130" s="261" t="e">
        <f t="shared" si="68"/>
        <v>#N/A</v>
      </c>
      <c r="K130" s="454" t="s">
        <v>292</v>
      </c>
      <c r="L130" s="261" t="e">
        <f>VLOOKUP($A130,[1]Planilha!$A$18:$BK$553,52,FALSE)</f>
        <v>#N/A</v>
      </c>
      <c r="M130" s="261" t="e">
        <f t="shared" si="69"/>
        <v>#VALUE!</v>
      </c>
      <c r="N130" s="455"/>
      <c r="O130" s="261" t="e">
        <f>VLOOKUP($A130,[1]Planilha!$A$18:$BK$553,60,FALSE)</f>
        <v>#N/A</v>
      </c>
      <c r="P130" s="261" t="e">
        <f t="shared" si="70"/>
        <v>#N/A</v>
      </c>
      <c r="Q130" s="456" t="s">
        <v>740</v>
      </c>
      <c r="R130" s="261" t="e">
        <f>VLOOKUP($A130,[1]Planilha!$A$18:$BK$553,51,FALSE)</f>
        <v>#N/A</v>
      </c>
      <c r="S130" s="261" t="e">
        <f t="shared" si="71"/>
        <v>#VALUE!</v>
      </c>
      <c r="T130" s="455"/>
      <c r="U130" s="261" t="e">
        <f>VLOOKUP($A130,[1]Planilha!$A$18:$BK$553,59,FALSE)</f>
        <v>#N/A</v>
      </c>
      <c r="V130" s="261" t="e">
        <f t="shared" si="72"/>
        <v>#N/A</v>
      </c>
      <c r="W130" s="456" t="s">
        <v>293</v>
      </c>
      <c r="X130" s="261" t="e">
        <f>VLOOKUP($A130,[1]Planilha!$A$18:$BK$553,50,FALSE)</f>
        <v>#N/A</v>
      </c>
      <c r="Y130" s="261" t="e">
        <f t="shared" si="73"/>
        <v>#VALUE!</v>
      </c>
      <c r="Z130" s="455"/>
      <c r="AA130" s="261" t="e">
        <f>VLOOKUP($A130,[1]Planilha!$A$18:$BK$553,58,FALSE)</f>
        <v>#N/A</v>
      </c>
      <c r="AB130" s="261" t="e">
        <f t="shared" si="74"/>
        <v>#N/A</v>
      </c>
      <c r="AC130" s="456" t="s">
        <v>322</v>
      </c>
      <c r="AD130" s="261" t="e">
        <f>VLOOKUP($A130,[1]Planilha!$A$18:$BK$553,49,FALSE)</f>
        <v>#N/A</v>
      </c>
      <c r="AE130" s="261" t="e">
        <f t="shared" si="75"/>
        <v>#VALUE!</v>
      </c>
      <c r="AF130" s="459"/>
      <c r="AG130" s="261" t="e">
        <f>VLOOKUP($A130,[1]Planilha!$A$18:$BK$553,57,FALSE)</f>
        <v>#N/A</v>
      </c>
      <c r="AH130" s="261" t="e">
        <f t="shared" si="76"/>
        <v>#N/A</v>
      </c>
      <c r="AI130" s="376"/>
      <c r="AJ130" s="376"/>
      <c r="AK130" s="376"/>
      <c r="AL130" s="376"/>
      <c r="AM130" s="376"/>
      <c r="AN130" s="376"/>
      <c r="AO130" s="376"/>
      <c r="AP130" s="376"/>
      <c r="AQ130" s="376"/>
      <c r="AR130" s="376"/>
      <c r="AS130" s="376"/>
      <c r="AT130" s="376"/>
    </row>
    <row r="131" spans="1:46" s="124" customFormat="1" ht="12.75" customHeight="1">
      <c r="A131" s="449" t="s">
        <v>296</v>
      </c>
      <c r="B131" s="115" t="s">
        <v>13</v>
      </c>
      <c r="C131" s="119" t="s">
        <v>83</v>
      </c>
      <c r="D131" s="131"/>
      <c r="E131" s="248" t="s">
        <v>81</v>
      </c>
      <c r="F131" s="261" t="e">
        <f>VLOOKUP($A131,[1]Planilha!$A$18:$BK$553,54,FALSE)</f>
        <v>#N/A</v>
      </c>
      <c r="G131" s="261" t="e">
        <f t="shared" si="66"/>
        <v>#VALUE!</v>
      </c>
      <c r="H131" s="249" t="s">
        <v>82</v>
      </c>
      <c r="I131" s="261" t="e">
        <f>VLOOKUP($A131,[1]Planilha!$A$18:$BK$553,62,FALSE)</f>
        <v>#N/A</v>
      </c>
      <c r="J131" s="261" t="e">
        <f t="shared" si="68"/>
        <v>#VALUE!</v>
      </c>
      <c r="K131" s="248" t="s">
        <v>81</v>
      </c>
      <c r="L131" s="261" t="e">
        <f>VLOOKUP($A131,[1]Planilha!$A$18:$BK$553,52,FALSE)</f>
        <v>#N/A</v>
      </c>
      <c r="M131" s="261" t="e">
        <f t="shared" si="69"/>
        <v>#VALUE!</v>
      </c>
      <c r="N131" s="249" t="s">
        <v>82</v>
      </c>
      <c r="O131" s="261" t="e">
        <f>VLOOKUP($A131,[1]Planilha!$A$18:$BK$553,60,FALSE)</f>
        <v>#N/A</v>
      </c>
      <c r="P131" s="261" t="e">
        <f t="shared" si="70"/>
        <v>#VALUE!</v>
      </c>
      <c r="Q131" s="248" t="s">
        <v>81</v>
      </c>
      <c r="R131" s="261" t="e">
        <f>VLOOKUP($A131,[1]Planilha!$A$18:$BK$553,51,FALSE)</f>
        <v>#N/A</v>
      </c>
      <c r="S131" s="261" t="e">
        <f t="shared" si="71"/>
        <v>#VALUE!</v>
      </c>
      <c r="T131" s="249" t="s">
        <v>82</v>
      </c>
      <c r="U131" s="261" t="e">
        <f>VLOOKUP($A131,[1]Planilha!$A$18:$BK$553,59,FALSE)</f>
        <v>#N/A</v>
      </c>
      <c r="V131" s="261" t="e">
        <f t="shared" si="72"/>
        <v>#VALUE!</v>
      </c>
      <c r="W131" s="248" t="s">
        <v>81</v>
      </c>
      <c r="X131" s="261" t="e">
        <f>VLOOKUP($A131,[1]Planilha!$A$18:$BK$553,50,FALSE)</f>
        <v>#N/A</v>
      </c>
      <c r="Y131" s="261" t="e">
        <f t="shared" si="73"/>
        <v>#VALUE!</v>
      </c>
      <c r="Z131" s="249" t="s">
        <v>82</v>
      </c>
      <c r="AA131" s="261" t="e">
        <f>VLOOKUP($A131,[1]Planilha!$A$18:$BK$553,58,FALSE)</f>
        <v>#N/A</v>
      </c>
      <c r="AB131" s="261" t="e">
        <f t="shared" si="74"/>
        <v>#VALUE!</v>
      </c>
      <c r="AC131" s="248" t="s">
        <v>81</v>
      </c>
      <c r="AD131" s="261" t="e">
        <f>VLOOKUP($A131,[1]Planilha!$A$18:$BK$553,49,FALSE)</f>
        <v>#N/A</v>
      </c>
      <c r="AE131" s="261" t="e">
        <f t="shared" si="75"/>
        <v>#VALUE!</v>
      </c>
      <c r="AF131" s="250" t="s">
        <v>82</v>
      </c>
      <c r="AG131" s="261" t="e">
        <f>VLOOKUP($A131,[1]Planilha!$A$18:$BK$553,57,FALSE)</f>
        <v>#N/A</v>
      </c>
      <c r="AH131" s="261" t="e">
        <f t="shared" si="76"/>
        <v>#VALUE!</v>
      </c>
      <c r="AI131" s="376"/>
      <c r="AJ131" s="376"/>
      <c r="AK131" s="376"/>
      <c r="AL131" s="376"/>
      <c r="AM131" s="376"/>
      <c r="AN131" s="376"/>
      <c r="AO131" s="376"/>
      <c r="AP131" s="376"/>
      <c r="AQ131" s="376"/>
      <c r="AR131" s="376"/>
      <c r="AS131" s="376"/>
      <c r="AT131" s="376"/>
    </row>
    <row r="132" spans="1:46" ht="13.5" customHeight="1" thickBot="1">
      <c r="A132" s="450"/>
      <c r="B132" s="155" t="s">
        <v>14</v>
      </c>
      <c r="C132" s="156" t="s">
        <v>379</v>
      </c>
      <c r="D132" s="163" t="s">
        <v>84</v>
      </c>
      <c r="E132" s="251" t="s">
        <v>85</v>
      </c>
      <c r="F132" s="261" t="e">
        <f>VLOOKUP($A132,[1]Planilha!$A$18:$BK$553,54,FALSE)</f>
        <v>#N/A</v>
      </c>
      <c r="G132" s="261" t="e">
        <f t="shared" si="66"/>
        <v>#VALUE!</v>
      </c>
      <c r="H132" s="252" t="s">
        <v>297</v>
      </c>
      <c r="I132" s="261" t="e">
        <f>VLOOKUP($A132,[1]Planilha!$A$18:$BK$553,62,FALSE)</f>
        <v>#N/A</v>
      </c>
      <c r="J132" s="261" t="e">
        <f t="shared" si="68"/>
        <v>#VALUE!</v>
      </c>
      <c r="K132" s="251" t="s">
        <v>85</v>
      </c>
      <c r="L132" s="261" t="e">
        <f>VLOOKUP($A132,[1]Planilha!$A$18:$BK$553,52,FALSE)</f>
        <v>#N/A</v>
      </c>
      <c r="M132" s="261" t="e">
        <f t="shared" si="69"/>
        <v>#VALUE!</v>
      </c>
      <c r="N132" s="252" t="s">
        <v>297</v>
      </c>
      <c r="O132" s="261" t="e">
        <f>VLOOKUP($A132,[1]Planilha!$A$18:$BK$553,60,FALSE)</f>
        <v>#N/A</v>
      </c>
      <c r="P132" s="261" t="e">
        <f t="shared" si="70"/>
        <v>#VALUE!</v>
      </c>
      <c r="Q132" s="251" t="s">
        <v>85</v>
      </c>
      <c r="R132" s="261" t="e">
        <f>VLOOKUP($A132,[1]Planilha!$A$18:$BK$553,51,FALSE)</f>
        <v>#N/A</v>
      </c>
      <c r="S132" s="261" t="e">
        <f t="shared" si="71"/>
        <v>#VALUE!</v>
      </c>
      <c r="T132" s="252" t="s">
        <v>297</v>
      </c>
      <c r="U132" s="261" t="e">
        <f>VLOOKUP($A132,[1]Planilha!$A$18:$BK$553,59,FALSE)</f>
        <v>#N/A</v>
      </c>
      <c r="V132" s="261" t="e">
        <f t="shared" si="72"/>
        <v>#VALUE!</v>
      </c>
      <c r="W132" s="251" t="s">
        <v>85</v>
      </c>
      <c r="X132" s="261" t="e">
        <f>VLOOKUP($A132,[1]Planilha!$A$18:$BK$553,50,FALSE)</f>
        <v>#N/A</v>
      </c>
      <c r="Y132" s="261" t="e">
        <f t="shared" si="73"/>
        <v>#VALUE!</v>
      </c>
      <c r="Z132" s="252" t="s">
        <v>297</v>
      </c>
      <c r="AA132" s="261" t="e">
        <f>VLOOKUP($A132,[1]Planilha!$A$18:$BK$553,58,FALSE)</f>
        <v>#N/A</v>
      </c>
      <c r="AB132" s="261" t="e">
        <f t="shared" si="74"/>
        <v>#VALUE!</v>
      </c>
      <c r="AC132" s="251" t="s">
        <v>85</v>
      </c>
      <c r="AD132" s="261" t="e">
        <f>VLOOKUP($A132,[1]Planilha!$A$18:$BK$553,49,FALSE)</f>
        <v>#N/A</v>
      </c>
      <c r="AE132" s="261" t="e">
        <f t="shared" si="75"/>
        <v>#VALUE!</v>
      </c>
      <c r="AF132" s="253" t="s">
        <v>297</v>
      </c>
      <c r="AG132" s="261" t="e">
        <f>VLOOKUP($A132,[1]Planilha!$A$18:$BK$553,57,FALSE)</f>
        <v>#N/A</v>
      </c>
      <c r="AH132" s="261" t="e">
        <f t="shared" si="76"/>
        <v>#VALUE!</v>
      </c>
    </row>
    <row r="133" spans="1:46" s="279" customFormat="1" ht="15">
      <c r="A133" s="434"/>
      <c r="B133" s="435" t="s">
        <v>377</v>
      </c>
      <c r="C133" s="435"/>
      <c r="D133" s="436"/>
      <c r="E133" s="437"/>
      <c r="F133" s="261" t="e">
        <f>VLOOKUP($A133,[1]Planilha!$A$18:$BK$553,54,FALSE)</f>
        <v>#N/A</v>
      </c>
      <c r="G133" s="261" t="e">
        <f t="shared" si="66"/>
        <v>#N/A</v>
      </c>
      <c r="H133" s="438"/>
      <c r="I133" s="261" t="e">
        <f>VLOOKUP($A133,[1]Planilha!$A$18:$BK$553,62,FALSE)</f>
        <v>#N/A</v>
      </c>
      <c r="J133" s="261" t="e">
        <f t="shared" si="68"/>
        <v>#N/A</v>
      </c>
      <c r="K133" s="437"/>
      <c r="L133" s="261" t="e">
        <f>VLOOKUP($A133,[1]Planilha!$A$18:$BK$553,52,FALSE)</f>
        <v>#N/A</v>
      </c>
      <c r="M133" s="261" t="e">
        <f t="shared" si="69"/>
        <v>#N/A</v>
      </c>
      <c r="N133" s="438"/>
      <c r="O133" s="261" t="e">
        <f>VLOOKUP($A133,[1]Planilha!$A$18:$BK$553,60,FALSE)</f>
        <v>#N/A</v>
      </c>
      <c r="P133" s="261" t="e">
        <f t="shared" si="70"/>
        <v>#N/A</v>
      </c>
      <c r="Q133" s="437"/>
      <c r="R133" s="261" t="e">
        <f>VLOOKUP($A133,[1]Planilha!$A$18:$BK$553,51,FALSE)</f>
        <v>#N/A</v>
      </c>
      <c r="S133" s="261" t="e">
        <f t="shared" si="71"/>
        <v>#N/A</v>
      </c>
      <c r="T133" s="438"/>
      <c r="U133" s="261" t="e">
        <f>VLOOKUP($A133,[1]Planilha!$A$18:$BK$553,59,FALSE)</f>
        <v>#N/A</v>
      </c>
      <c r="V133" s="261" t="e">
        <f t="shared" si="72"/>
        <v>#N/A</v>
      </c>
      <c r="W133" s="437"/>
      <c r="X133" s="261" t="e">
        <f>VLOOKUP($A133,[1]Planilha!$A$18:$BK$553,50,FALSE)</f>
        <v>#N/A</v>
      </c>
      <c r="Y133" s="261" t="e">
        <f t="shared" si="73"/>
        <v>#N/A</v>
      </c>
      <c r="Z133" s="438"/>
      <c r="AA133" s="261" t="e">
        <f>VLOOKUP($A133,[1]Planilha!$A$18:$BK$553,58,FALSE)</f>
        <v>#N/A</v>
      </c>
      <c r="AB133" s="261" t="e">
        <f t="shared" si="74"/>
        <v>#N/A</v>
      </c>
      <c r="AC133" s="437"/>
      <c r="AD133" s="261" t="e">
        <f>VLOOKUP($A133,[1]Planilha!$A$18:$BK$553,49,FALSE)</f>
        <v>#N/A</v>
      </c>
      <c r="AE133" s="261" t="e">
        <f t="shared" si="75"/>
        <v>#N/A</v>
      </c>
      <c r="AF133" s="439"/>
      <c r="AG133" s="261" t="e">
        <f>VLOOKUP($A133,[1]Planilha!$A$18:$BK$553,57,FALSE)</f>
        <v>#N/A</v>
      </c>
      <c r="AH133" s="261" t="e">
        <f t="shared" si="76"/>
        <v>#N/A</v>
      </c>
      <c r="AI133" s="377"/>
      <c r="AJ133" s="377"/>
      <c r="AK133" s="377"/>
      <c r="AL133" s="377"/>
      <c r="AM133" s="377"/>
      <c r="AN133" s="377"/>
      <c r="AO133" s="377"/>
      <c r="AP133" s="377"/>
      <c r="AQ133" s="377"/>
      <c r="AR133" s="377"/>
      <c r="AS133" s="377"/>
      <c r="AT133" s="377"/>
    </row>
    <row r="134" spans="1:46" ht="13.5" thickBot="1">
      <c r="A134" s="440">
        <v>7891721017186</v>
      </c>
      <c r="B134" s="135">
        <v>80141300375</v>
      </c>
      <c r="C134" s="135" t="s">
        <v>12</v>
      </c>
      <c r="D134" s="441" t="s">
        <v>376</v>
      </c>
      <c r="E134" s="442">
        <f>ROUND(K134*1.028952,2)</f>
        <v>331.57</v>
      </c>
      <c r="F134" s="496" t="e">
        <f>VLOOKUP($A134,[1]Planilha!$A$18:$BK$553,54,FALSE)</f>
        <v>#N/A</v>
      </c>
      <c r="G134" s="496" t="e">
        <f t="shared" si="66"/>
        <v>#N/A</v>
      </c>
      <c r="H134" s="442">
        <f>ROUND(E134/0.751296,2)</f>
        <v>441.33</v>
      </c>
      <c r="I134" s="496" t="e">
        <f>VLOOKUP($A134,[1]Planilha!$A$18:$BK$553,62,FALSE)</f>
        <v>#N/A</v>
      </c>
      <c r="J134" s="496" t="e">
        <f t="shared" si="68"/>
        <v>#N/A</v>
      </c>
      <c r="K134" s="442">
        <v>322.24176000000006</v>
      </c>
      <c r="L134" s="496" t="e">
        <f>VLOOKUP($A134,[1]Planilha!$A$18:$BK$553,52,FALSE)</f>
        <v>#N/A</v>
      </c>
      <c r="M134" s="496" t="e">
        <f t="shared" si="69"/>
        <v>#N/A</v>
      </c>
      <c r="N134" s="442">
        <f>ROUND(K134/0.750577,2)</f>
        <v>429.33</v>
      </c>
      <c r="O134" s="496" t="e">
        <f>VLOOKUP($A134,[1]Planilha!$A$18:$BK$553,60,FALSE)</f>
        <v>#N/A</v>
      </c>
      <c r="P134" s="496" t="e">
        <f t="shared" si="70"/>
        <v>#N/A</v>
      </c>
      <c r="Q134" s="442">
        <f>ROUND(K134*0.993015,2)</f>
        <v>319.99</v>
      </c>
      <c r="R134" s="496" t="e">
        <f>VLOOKUP($A134,[1]Planilha!$A$18:$BK$553,51,FALSE)</f>
        <v>#N/A</v>
      </c>
      <c r="S134" s="496" t="e">
        <f t="shared" si="71"/>
        <v>#N/A</v>
      </c>
      <c r="T134" s="442">
        <f>ROUND(Q134/0.750402,2)</f>
        <v>426.42</v>
      </c>
      <c r="U134" s="496" t="e">
        <f>VLOOKUP($A134,[1]Planilha!$A$18:$BK$553,59,FALSE)</f>
        <v>#N/A</v>
      </c>
      <c r="V134" s="496" t="e">
        <f t="shared" si="72"/>
        <v>#N/A</v>
      </c>
      <c r="W134" s="442">
        <f>ROUND(K134*0.986128,2)</f>
        <v>317.77</v>
      </c>
      <c r="X134" s="496" t="e">
        <f>VLOOKUP($A134,[1]Planilha!$A$18:$BK$553,50,FALSE)</f>
        <v>#N/A</v>
      </c>
      <c r="Y134" s="496" t="e">
        <f t="shared" si="73"/>
        <v>#N/A</v>
      </c>
      <c r="Z134" s="442">
        <f>ROUND(W134/0.75023,2)</f>
        <v>423.56</v>
      </c>
      <c r="AA134" s="496" t="e">
        <f>VLOOKUP($A134,[1]Planilha!$A$18:$BK$553,58,FALSE)</f>
        <v>#N/A</v>
      </c>
      <c r="AB134" s="496" t="e">
        <f t="shared" si="74"/>
        <v>#N/A</v>
      </c>
      <c r="AC134" s="442">
        <f>ROUND(K134*0.922175,2)</f>
        <v>297.16000000000003</v>
      </c>
      <c r="AD134" s="496" t="e">
        <f>VLOOKUP($A134,[1]Planilha!$A$18:$BK$553,49,FALSE)</f>
        <v>#N/A</v>
      </c>
      <c r="AE134" s="496" t="e">
        <f t="shared" si="75"/>
        <v>#N/A</v>
      </c>
      <c r="AF134" s="443">
        <f>ROUND(AC134/0.748624,2)</f>
        <v>396.94</v>
      </c>
      <c r="AG134" s="496" t="e">
        <f>VLOOKUP($A134,[1]Planilha!$A$18:$BK$553,57,FALSE)</f>
        <v>#N/A</v>
      </c>
      <c r="AH134" s="496" t="e">
        <f t="shared" si="76"/>
        <v>#N/A</v>
      </c>
    </row>
    <row r="135" spans="1:46" s="124" customFormat="1" ht="18" customHeight="1" thickBot="1">
      <c r="A135" s="680" t="s">
        <v>295</v>
      </c>
      <c r="B135" s="451" t="s">
        <v>732</v>
      </c>
      <c r="C135" s="452"/>
      <c r="D135" s="453"/>
      <c r="E135" s="454" t="s">
        <v>741</v>
      </c>
      <c r="F135" s="261" t="e">
        <f>VLOOKUP($A135,[1]Planilha!$A$18:$BK$553,54,FALSE)</f>
        <v>#N/A</v>
      </c>
      <c r="G135" s="261" t="e">
        <f t="shared" si="66"/>
        <v>#VALUE!</v>
      </c>
      <c r="H135" s="455"/>
      <c r="I135" s="261" t="e">
        <f>VLOOKUP($A135,[1]Planilha!$A$18:$BK$553,62,FALSE)</f>
        <v>#N/A</v>
      </c>
      <c r="J135" s="261" t="e">
        <f t="shared" si="68"/>
        <v>#N/A</v>
      </c>
      <c r="K135" s="454" t="s">
        <v>292</v>
      </c>
      <c r="L135" s="261" t="e">
        <f>VLOOKUP($A135,[1]Planilha!$A$18:$BK$553,52,FALSE)</f>
        <v>#N/A</v>
      </c>
      <c r="M135" s="261" t="e">
        <f t="shared" si="69"/>
        <v>#VALUE!</v>
      </c>
      <c r="N135" s="455"/>
      <c r="O135" s="261" t="e">
        <f>VLOOKUP($A135,[1]Planilha!$A$18:$BK$553,60,FALSE)</f>
        <v>#N/A</v>
      </c>
      <c r="P135" s="261" t="e">
        <f t="shared" si="70"/>
        <v>#N/A</v>
      </c>
      <c r="Q135" s="456" t="s">
        <v>740</v>
      </c>
      <c r="R135" s="261" t="e">
        <f>VLOOKUP($A135,[1]Planilha!$A$18:$BK$553,51,FALSE)</f>
        <v>#N/A</v>
      </c>
      <c r="S135" s="261" t="e">
        <f t="shared" si="71"/>
        <v>#VALUE!</v>
      </c>
      <c r="T135" s="455"/>
      <c r="U135" s="261" t="e">
        <f>VLOOKUP($A135,[1]Planilha!$A$18:$BK$553,59,FALSE)</f>
        <v>#N/A</v>
      </c>
      <c r="V135" s="261" t="e">
        <f t="shared" si="72"/>
        <v>#N/A</v>
      </c>
      <c r="W135" s="456" t="s">
        <v>293</v>
      </c>
      <c r="X135" s="261" t="e">
        <f>VLOOKUP($A135,[1]Planilha!$A$18:$BK$553,50,FALSE)</f>
        <v>#N/A</v>
      </c>
      <c r="Y135" s="261" t="e">
        <f t="shared" si="73"/>
        <v>#VALUE!</v>
      </c>
      <c r="Z135" s="455"/>
      <c r="AA135" s="261" t="e">
        <f>VLOOKUP($A135,[1]Planilha!$A$18:$BK$553,58,FALSE)</f>
        <v>#N/A</v>
      </c>
      <c r="AB135" s="261" t="e">
        <f t="shared" si="74"/>
        <v>#N/A</v>
      </c>
      <c r="AC135" s="456" t="s">
        <v>322</v>
      </c>
      <c r="AD135" s="261" t="e">
        <f>VLOOKUP($A135,[1]Planilha!$A$18:$BK$553,49,FALSE)</f>
        <v>#N/A</v>
      </c>
      <c r="AE135" s="261" t="e">
        <f t="shared" si="75"/>
        <v>#VALUE!</v>
      </c>
      <c r="AF135" s="459"/>
      <c r="AG135" s="261" t="e">
        <f>VLOOKUP($A135,[1]Planilha!$A$18:$BK$553,57,FALSE)</f>
        <v>#N/A</v>
      </c>
      <c r="AH135" s="261" t="e">
        <f t="shared" si="76"/>
        <v>#N/A</v>
      </c>
      <c r="AI135" s="376"/>
      <c r="AJ135" s="376"/>
      <c r="AK135" s="376"/>
      <c r="AL135" s="376"/>
      <c r="AM135" s="376"/>
      <c r="AN135" s="376"/>
      <c r="AO135" s="376"/>
      <c r="AP135" s="376"/>
      <c r="AQ135" s="376"/>
      <c r="AR135" s="376"/>
      <c r="AS135" s="376"/>
      <c r="AT135" s="376"/>
    </row>
    <row r="136" spans="1:46" s="124" customFormat="1" ht="12.75" customHeight="1">
      <c r="A136" s="449" t="s">
        <v>296</v>
      </c>
      <c r="B136" s="115" t="s">
        <v>13</v>
      </c>
      <c r="C136" s="119" t="s">
        <v>83</v>
      </c>
      <c r="D136" s="131"/>
      <c r="E136" s="248" t="s">
        <v>81</v>
      </c>
      <c r="F136" s="261" t="e">
        <f>VLOOKUP($A136,[1]Planilha!$A$18:$BK$553,54,FALSE)</f>
        <v>#N/A</v>
      </c>
      <c r="G136" s="261" t="e">
        <f t="shared" ref="G136:G199" si="119">E136-F136</f>
        <v>#VALUE!</v>
      </c>
      <c r="H136" s="249" t="s">
        <v>82</v>
      </c>
      <c r="I136" s="261" t="e">
        <f>VLOOKUP($A136,[1]Planilha!$A$18:$BK$553,62,FALSE)</f>
        <v>#N/A</v>
      </c>
      <c r="J136" s="261" t="e">
        <f t="shared" ref="J136:J199" si="120">H136-I136</f>
        <v>#VALUE!</v>
      </c>
      <c r="K136" s="248" t="s">
        <v>81</v>
      </c>
      <c r="L136" s="261" t="e">
        <f>VLOOKUP($A136,[1]Planilha!$A$18:$BK$553,52,FALSE)</f>
        <v>#N/A</v>
      </c>
      <c r="M136" s="261" t="e">
        <f t="shared" ref="M136:M199" si="121">K136-L136</f>
        <v>#VALUE!</v>
      </c>
      <c r="N136" s="249" t="s">
        <v>82</v>
      </c>
      <c r="O136" s="261" t="e">
        <f>VLOOKUP($A136,[1]Planilha!$A$18:$BK$553,60,FALSE)</f>
        <v>#N/A</v>
      </c>
      <c r="P136" s="261" t="e">
        <f t="shared" ref="P136:P199" si="122">N136-O136</f>
        <v>#VALUE!</v>
      </c>
      <c r="Q136" s="248" t="s">
        <v>81</v>
      </c>
      <c r="R136" s="261" t="e">
        <f>VLOOKUP($A136,[1]Planilha!$A$18:$BK$553,51,FALSE)</f>
        <v>#N/A</v>
      </c>
      <c r="S136" s="261" t="e">
        <f t="shared" ref="S136:S199" si="123">Q136-R136</f>
        <v>#VALUE!</v>
      </c>
      <c r="T136" s="249" t="s">
        <v>82</v>
      </c>
      <c r="U136" s="261" t="e">
        <f>VLOOKUP($A136,[1]Planilha!$A$18:$BK$553,59,FALSE)</f>
        <v>#N/A</v>
      </c>
      <c r="V136" s="261" t="e">
        <f t="shared" ref="V136:V199" si="124">T136-U136</f>
        <v>#VALUE!</v>
      </c>
      <c r="W136" s="248" t="s">
        <v>81</v>
      </c>
      <c r="X136" s="261" t="e">
        <f>VLOOKUP($A136,[1]Planilha!$A$18:$BK$553,50,FALSE)</f>
        <v>#N/A</v>
      </c>
      <c r="Y136" s="261" t="e">
        <f t="shared" ref="Y136:Y199" si="125">W136-X136</f>
        <v>#VALUE!</v>
      </c>
      <c r="Z136" s="249" t="s">
        <v>82</v>
      </c>
      <c r="AA136" s="261" t="e">
        <f>VLOOKUP($A136,[1]Planilha!$A$18:$BK$553,58,FALSE)</f>
        <v>#N/A</v>
      </c>
      <c r="AB136" s="261" t="e">
        <f t="shared" ref="AB136:AB199" si="126">Z136-AA136</f>
        <v>#VALUE!</v>
      </c>
      <c r="AC136" s="248" t="s">
        <v>81</v>
      </c>
      <c r="AD136" s="261" t="e">
        <f>VLOOKUP($A136,[1]Planilha!$A$18:$BK$553,49,FALSE)</f>
        <v>#N/A</v>
      </c>
      <c r="AE136" s="261" t="e">
        <f t="shared" ref="AE136:AE199" si="127">AC136-AD136</f>
        <v>#VALUE!</v>
      </c>
      <c r="AF136" s="250" t="s">
        <v>82</v>
      </c>
      <c r="AG136" s="261" t="e">
        <f>VLOOKUP($A136,[1]Planilha!$A$18:$BK$553,57,FALSE)</f>
        <v>#N/A</v>
      </c>
      <c r="AH136" s="261" t="e">
        <f t="shared" ref="AH136:AH199" si="128">AF136-AG136</f>
        <v>#VALUE!</v>
      </c>
      <c r="AI136" s="376"/>
      <c r="AJ136" s="376"/>
      <c r="AK136" s="376"/>
      <c r="AL136" s="376"/>
      <c r="AM136" s="376"/>
      <c r="AN136" s="376"/>
      <c r="AO136" s="376"/>
      <c r="AP136" s="376"/>
      <c r="AQ136" s="376"/>
      <c r="AR136" s="376"/>
      <c r="AS136" s="376"/>
      <c r="AT136" s="376"/>
    </row>
    <row r="137" spans="1:46" ht="13.5" customHeight="1" thickBot="1">
      <c r="A137" s="450"/>
      <c r="B137" s="155" t="s">
        <v>14</v>
      </c>
      <c r="C137" s="156" t="s">
        <v>379</v>
      </c>
      <c r="D137" s="163" t="s">
        <v>84</v>
      </c>
      <c r="E137" s="251" t="s">
        <v>85</v>
      </c>
      <c r="F137" s="261" t="e">
        <f>VLOOKUP($A137,[1]Planilha!$A$18:$BK$553,54,FALSE)</f>
        <v>#N/A</v>
      </c>
      <c r="G137" s="261" t="e">
        <f t="shared" si="119"/>
        <v>#VALUE!</v>
      </c>
      <c r="H137" s="252" t="s">
        <v>297</v>
      </c>
      <c r="I137" s="261" t="e">
        <f>VLOOKUP($A137,[1]Planilha!$A$18:$BK$553,62,FALSE)</f>
        <v>#N/A</v>
      </c>
      <c r="J137" s="261" t="e">
        <f t="shared" si="120"/>
        <v>#VALUE!</v>
      </c>
      <c r="K137" s="251" t="s">
        <v>85</v>
      </c>
      <c r="L137" s="261" t="e">
        <f>VLOOKUP($A137,[1]Planilha!$A$18:$BK$553,52,FALSE)</f>
        <v>#N/A</v>
      </c>
      <c r="M137" s="261" t="e">
        <f t="shared" si="121"/>
        <v>#VALUE!</v>
      </c>
      <c r="N137" s="252" t="s">
        <v>297</v>
      </c>
      <c r="O137" s="261" t="e">
        <f>VLOOKUP($A137,[1]Planilha!$A$18:$BK$553,60,FALSE)</f>
        <v>#N/A</v>
      </c>
      <c r="P137" s="261" t="e">
        <f t="shared" si="122"/>
        <v>#VALUE!</v>
      </c>
      <c r="Q137" s="251" t="s">
        <v>85</v>
      </c>
      <c r="R137" s="261" t="e">
        <f>VLOOKUP($A137,[1]Planilha!$A$18:$BK$553,51,FALSE)</f>
        <v>#N/A</v>
      </c>
      <c r="S137" s="261" t="e">
        <f t="shared" si="123"/>
        <v>#VALUE!</v>
      </c>
      <c r="T137" s="252" t="s">
        <v>297</v>
      </c>
      <c r="U137" s="261" t="e">
        <f>VLOOKUP($A137,[1]Planilha!$A$18:$BK$553,59,FALSE)</f>
        <v>#N/A</v>
      </c>
      <c r="V137" s="261" t="e">
        <f t="shared" si="124"/>
        <v>#VALUE!</v>
      </c>
      <c r="W137" s="251" t="s">
        <v>85</v>
      </c>
      <c r="X137" s="261" t="e">
        <f>VLOOKUP($A137,[1]Planilha!$A$18:$BK$553,50,FALSE)</f>
        <v>#N/A</v>
      </c>
      <c r="Y137" s="261" t="e">
        <f t="shared" si="125"/>
        <v>#VALUE!</v>
      </c>
      <c r="Z137" s="252" t="s">
        <v>297</v>
      </c>
      <c r="AA137" s="261" t="e">
        <f>VLOOKUP($A137,[1]Planilha!$A$18:$BK$553,58,FALSE)</f>
        <v>#N/A</v>
      </c>
      <c r="AB137" s="261" t="e">
        <f t="shared" si="126"/>
        <v>#VALUE!</v>
      </c>
      <c r="AC137" s="251" t="s">
        <v>85</v>
      </c>
      <c r="AD137" s="261" t="e">
        <f>VLOOKUP($A137,[1]Planilha!$A$18:$BK$553,49,FALSE)</f>
        <v>#N/A</v>
      </c>
      <c r="AE137" s="261" t="e">
        <f t="shared" si="127"/>
        <v>#VALUE!</v>
      </c>
      <c r="AF137" s="253" t="s">
        <v>297</v>
      </c>
      <c r="AG137" s="261" t="e">
        <f>VLOOKUP($A137,[1]Planilha!$A$18:$BK$553,57,FALSE)</f>
        <v>#N/A</v>
      </c>
      <c r="AH137" s="261" t="e">
        <f t="shared" si="128"/>
        <v>#VALUE!</v>
      </c>
    </row>
    <row r="138" spans="1:46" s="279" customFormat="1" ht="15">
      <c r="A138" s="434"/>
      <c r="B138" s="435" t="s">
        <v>727</v>
      </c>
      <c r="C138" s="435"/>
      <c r="D138" s="436"/>
      <c r="E138" s="437"/>
      <c r="F138" s="261" t="e">
        <f>VLOOKUP($A138,[1]Planilha!$A$18:$BK$553,54,FALSE)</f>
        <v>#N/A</v>
      </c>
      <c r="G138" s="261" t="e">
        <f t="shared" si="119"/>
        <v>#N/A</v>
      </c>
      <c r="H138" s="438"/>
      <c r="I138" s="261" t="e">
        <f>VLOOKUP($A138,[1]Planilha!$A$18:$BK$553,62,FALSE)</f>
        <v>#N/A</v>
      </c>
      <c r="J138" s="261" t="e">
        <f t="shared" si="120"/>
        <v>#N/A</v>
      </c>
      <c r="K138" s="437"/>
      <c r="L138" s="261" t="e">
        <f>VLOOKUP($A138,[1]Planilha!$A$18:$BK$553,52,FALSE)</f>
        <v>#N/A</v>
      </c>
      <c r="M138" s="261" t="e">
        <f t="shared" si="121"/>
        <v>#N/A</v>
      </c>
      <c r="N138" s="438"/>
      <c r="O138" s="261" t="e">
        <f>VLOOKUP($A138,[1]Planilha!$A$18:$BK$553,60,FALSE)</f>
        <v>#N/A</v>
      </c>
      <c r="P138" s="261" t="e">
        <f t="shared" si="122"/>
        <v>#N/A</v>
      </c>
      <c r="Q138" s="437"/>
      <c r="R138" s="261" t="e">
        <f>VLOOKUP($A138,[1]Planilha!$A$18:$BK$553,51,FALSE)</f>
        <v>#N/A</v>
      </c>
      <c r="S138" s="261" t="e">
        <f t="shared" si="123"/>
        <v>#N/A</v>
      </c>
      <c r="T138" s="438"/>
      <c r="U138" s="261" t="e">
        <f>VLOOKUP($A138,[1]Planilha!$A$18:$BK$553,59,FALSE)</f>
        <v>#N/A</v>
      </c>
      <c r="V138" s="261" t="e">
        <f t="shared" si="124"/>
        <v>#N/A</v>
      </c>
      <c r="W138" s="437"/>
      <c r="X138" s="261" t="e">
        <f>VLOOKUP($A138,[1]Planilha!$A$18:$BK$553,50,FALSE)</f>
        <v>#N/A</v>
      </c>
      <c r="Y138" s="261" t="e">
        <f t="shared" si="125"/>
        <v>#N/A</v>
      </c>
      <c r="Z138" s="438"/>
      <c r="AA138" s="261" t="e">
        <f>VLOOKUP($A138,[1]Planilha!$A$18:$BK$553,58,FALSE)</f>
        <v>#N/A</v>
      </c>
      <c r="AB138" s="261" t="e">
        <f t="shared" si="126"/>
        <v>#N/A</v>
      </c>
      <c r="AC138" s="437"/>
      <c r="AD138" s="261" t="e">
        <f>VLOOKUP($A138,[1]Planilha!$A$18:$BK$553,49,FALSE)</f>
        <v>#N/A</v>
      </c>
      <c r="AE138" s="261" t="e">
        <f t="shared" si="127"/>
        <v>#N/A</v>
      </c>
      <c r="AF138" s="439"/>
      <c r="AG138" s="261" t="e">
        <f>VLOOKUP($A138,[1]Planilha!$A$18:$BK$553,57,FALSE)</f>
        <v>#N/A</v>
      </c>
      <c r="AH138" s="261" t="e">
        <f t="shared" si="128"/>
        <v>#N/A</v>
      </c>
      <c r="AI138" s="377"/>
      <c r="AJ138" s="377"/>
      <c r="AK138" s="377"/>
      <c r="AL138" s="377"/>
      <c r="AM138" s="377"/>
      <c r="AN138" s="377"/>
      <c r="AO138" s="377"/>
      <c r="AP138" s="377"/>
      <c r="AQ138" s="377"/>
      <c r="AR138" s="377"/>
      <c r="AS138" s="377"/>
      <c r="AT138" s="377"/>
    </row>
    <row r="139" spans="1:46" ht="13.5" thickBot="1">
      <c r="A139" s="445">
        <v>7898955455104</v>
      </c>
      <c r="B139" s="172">
        <v>80288610005</v>
      </c>
      <c r="C139" s="172">
        <v>3261300001</v>
      </c>
      <c r="D139" s="446" t="s">
        <v>731</v>
      </c>
      <c r="E139" s="447">
        <v>68.094000000000008</v>
      </c>
      <c r="F139" s="496" t="e">
        <f>VLOOKUP($A139,[1]Planilha!$A$18:$BK$553,54,FALSE)</f>
        <v>#N/A</v>
      </c>
      <c r="G139" s="496" t="e">
        <f t="shared" si="119"/>
        <v>#N/A</v>
      </c>
      <c r="H139" s="447" t="s">
        <v>563</v>
      </c>
      <c r="I139" s="496" t="e">
        <f>VLOOKUP($A139,[1]Planilha!$A$18:$BK$553,62,FALSE)</f>
        <v>#N/A</v>
      </c>
      <c r="J139" s="496" t="e">
        <f t="shared" si="120"/>
        <v>#VALUE!</v>
      </c>
      <c r="K139" s="447">
        <v>68.094000000000008</v>
      </c>
      <c r="L139" s="496" t="e">
        <f>VLOOKUP($A139,[1]Planilha!$A$18:$BK$553,52,FALSE)</f>
        <v>#N/A</v>
      </c>
      <c r="M139" s="496" t="e">
        <f t="shared" si="121"/>
        <v>#N/A</v>
      </c>
      <c r="N139" s="447" t="s">
        <v>563</v>
      </c>
      <c r="O139" s="496" t="e">
        <f>VLOOKUP($A139,[1]Planilha!$A$18:$BK$553,60,FALSE)</f>
        <v>#N/A</v>
      </c>
      <c r="P139" s="496" t="e">
        <f t="shared" si="122"/>
        <v>#VALUE!</v>
      </c>
      <c r="Q139" s="447">
        <v>68.094000000000008</v>
      </c>
      <c r="R139" s="496" t="e">
        <f>VLOOKUP($A139,[1]Planilha!$A$18:$BK$553,51,FALSE)</f>
        <v>#N/A</v>
      </c>
      <c r="S139" s="496" t="e">
        <f t="shared" si="123"/>
        <v>#N/A</v>
      </c>
      <c r="T139" s="447" t="s">
        <v>563</v>
      </c>
      <c r="U139" s="496" t="e">
        <f>VLOOKUP($A139,[1]Planilha!$A$18:$BK$553,59,FALSE)</f>
        <v>#N/A</v>
      </c>
      <c r="V139" s="496" t="e">
        <f t="shared" si="124"/>
        <v>#VALUE!</v>
      </c>
      <c r="W139" s="447">
        <v>68.094000000000008</v>
      </c>
      <c r="X139" s="496" t="e">
        <f>VLOOKUP($A139,[1]Planilha!$A$18:$BK$553,50,FALSE)</f>
        <v>#N/A</v>
      </c>
      <c r="Y139" s="496" t="e">
        <f t="shared" si="125"/>
        <v>#N/A</v>
      </c>
      <c r="Z139" s="447" t="s">
        <v>563</v>
      </c>
      <c r="AA139" s="496" t="e">
        <f>VLOOKUP($A139,[1]Planilha!$A$18:$BK$553,58,FALSE)</f>
        <v>#N/A</v>
      </c>
      <c r="AB139" s="496" t="e">
        <f t="shared" si="126"/>
        <v>#VALUE!</v>
      </c>
      <c r="AC139" s="447">
        <v>68.094000000000008</v>
      </c>
      <c r="AD139" s="496" t="e">
        <f>VLOOKUP($A139,[1]Planilha!$A$18:$BK$553,49,FALSE)</f>
        <v>#N/A</v>
      </c>
      <c r="AE139" s="496" t="e">
        <f t="shared" si="127"/>
        <v>#N/A</v>
      </c>
      <c r="AF139" s="448" t="s">
        <v>563</v>
      </c>
      <c r="AG139" s="496" t="e">
        <f>VLOOKUP($A139,[1]Planilha!$A$18:$BK$553,57,FALSE)</f>
        <v>#N/A</v>
      </c>
      <c r="AH139" s="496" t="e">
        <f t="shared" si="128"/>
        <v>#VALUE!</v>
      </c>
    </row>
    <row r="140" spans="1:46" s="124" customFormat="1" ht="33" customHeight="1" thickBot="1">
      <c r="A140" s="680" t="s">
        <v>295</v>
      </c>
      <c r="B140" s="451" t="s">
        <v>372</v>
      </c>
      <c r="C140" s="452"/>
      <c r="D140" s="453"/>
      <c r="E140" s="460" t="s">
        <v>741</v>
      </c>
      <c r="F140" s="261" t="e">
        <f>VLOOKUP($A140,[1]Planilha!$A$18:$BK$553,54,FALSE)</f>
        <v>#N/A</v>
      </c>
      <c r="G140" s="261" t="e">
        <f t="shared" si="119"/>
        <v>#VALUE!</v>
      </c>
      <c r="H140" s="461"/>
      <c r="I140" s="261" t="e">
        <f>VLOOKUP($A140,[1]Planilha!$A$18:$BK$553,62,FALSE)</f>
        <v>#N/A</v>
      </c>
      <c r="J140" s="261" t="e">
        <f t="shared" si="120"/>
        <v>#N/A</v>
      </c>
      <c r="K140" s="460" t="s">
        <v>292</v>
      </c>
      <c r="L140" s="261" t="e">
        <f>VLOOKUP($A140,[1]Planilha!$A$18:$BK$553,52,FALSE)</f>
        <v>#N/A</v>
      </c>
      <c r="M140" s="261" t="e">
        <f t="shared" si="121"/>
        <v>#VALUE!</v>
      </c>
      <c r="N140" s="461"/>
      <c r="O140" s="261" t="e">
        <f>VLOOKUP($A140,[1]Planilha!$A$18:$BK$553,60,FALSE)</f>
        <v>#N/A</v>
      </c>
      <c r="P140" s="261" t="e">
        <f t="shared" si="122"/>
        <v>#N/A</v>
      </c>
      <c r="Q140" s="462" t="s">
        <v>740</v>
      </c>
      <c r="R140" s="261" t="e">
        <f>VLOOKUP($A140,[1]Planilha!$A$18:$BK$553,51,FALSE)</f>
        <v>#N/A</v>
      </c>
      <c r="S140" s="261" t="e">
        <f t="shared" si="123"/>
        <v>#VALUE!</v>
      </c>
      <c r="T140" s="461"/>
      <c r="U140" s="261" t="e">
        <f>VLOOKUP($A140,[1]Planilha!$A$18:$BK$553,59,FALSE)</f>
        <v>#N/A</v>
      </c>
      <c r="V140" s="261" t="e">
        <f t="shared" si="124"/>
        <v>#N/A</v>
      </c>
      <c r="W140" s="462" t="s">
        <v>293</v>
      </c>
      <c r="X140" s="261" t="e">
        <f>VLOOKUP($A140,[1]Planilha!$A$18:$BK$553,50,FALSE)</f>
        <v>#N/A</v>
      </c>
      <c r="Y140" s="261" t="e">
        <f t="shared" si="125"/>
        <v>#VALUE!</v>
      </c>
      <c r="Z140" s="461"/>
      <c r="AA140" s="261" t="e">
        <f>VLOOKUP($A140,[1]Planilha!$A$18:$BK$553,58,FALSE)</f>
        <v>#N/A</v>
      </c>
      <c r="AB140" s="261" t="e">
        <f t="shared" si="126"/>
        <v>#N/A</v>
      </c>
      <c r="AC140" s="462" t="s">
        <v>322</v>
      </c>
      <c r="AD140" s="261" t="e">
        <f>VLOOKUP($A140,[1]Planilha!$A$18:$BK$553,49,FALSE)</f>
        <v>#N/A</v>
      </c>
      <c r="AE140" s="261" t="e">
        <f t="shared" si="127"/>
        <v>#VALUE!</v>
      </c>
      <c r="AF140" s="462"/>
      <c r="AG140" s="261" t="e">
        <f>VLOOKUP($A140,[1]Planilha!$A$18:$BK$553,57,FALSE)</f>
        <v>#N/A</v>
      </c>
      <c r="AH140" s="261" t="e">
        <f t="shared" si="128"/>
        <v>#N/A</v>
      </c>
    </row>
    <row r="141" spans="1:46" s="124" customFormat="1" ht="12.75" customHeight="1">
      <c r="A141" s="449" t="s">
        <v>296</v>
      </c>
      <c r="B141" s="115" t="s">
        <v>13</v>
      </c>
      <c r="C141" s="119" t="s">
        <v>83</v>
      </c>
      <c r="D141" s="131"/>
      <c r="E141" s="248" t="s">
        <v>81</v>
      </c>
      <c r="F141" s="261" t="e">
        <f>VLOOKUP($A141,[1]Planilha!$A$18:$BK$553,54,FALSE)</f>
        <v>#N/A</v>
      </c>
      <c r="G141" s="261" t="e">
        <f t="shared" si="119"/>
        <v>#VALUE!</v>
      </c>
      <c r="H141" s="249" t="s">
        <v>82</v>
      </c>
      <c r="I141" s="261" t="e">
        <f>VLOOKUP($A141,[1]Planilha!$A$18:$BK$553,62,FALSE)</f>
        <v>#N/A</v>
      </c>
      <c r="J141" s="261" t="e">
        <f t="shared" si="120"/>
        <v>#VALUE!</v>
      </c>
      <c r="K141" s="248" t="s">
        <v>81</v>
      </c>
      <c r="L141" s="261" t="e">
        <f>VLOOKUP($A141,[1]Planilha!$A$18:$BK$553,52,FALSE)</f>
        <v>#N/A</v>
      </c>
      <c r="M141" s="261" t="e">
        <f t="shared" si="121"/>
        <v>#VALUE!</v>
      </c>
      <c r="N141" s="249" t="s">
        <v>82</v>
      </c>
      <c r="O141" s="261" t="e">
        <f>VLOOKUP($A141,[1]Planilha!$A$18:$BK$553,60,FALSE)</f>
        <v>#N/A</v>
      </c>
      <c r="P141" s="261" t="e">
        <f t="shared" si="122"/>
        <v>#VALUE!</v>
      </c>
      <c r="Q141" s="248" t="s">
        <v>81</v>
      </c>
      <c r="R141" s="261" t="e">
        <f>VLOOKUP($A141,[1]Planilha!$A$18:$BK$553,51,FALSE)</f>
        <v>#N/A</v>
      </c>
      <c r="S141" s="261" t="e">
        <f t="shared" si="123"/>
        <v>#VALUE!</v>
      </c>
      <c r="T141" s="249" t="s">
        <v>82</v>
      </c>
      <c r="U141" s="261" t="e">
        <f>VLOOKUP($A141,[1]Planilha!$A$18:$BK$553,59,FALSE)</f>
        <v>#N/A</v>
      </c>
      <c r="V141" s="261" t="e">
        <f t="shared" si="124"/>
        <v>#VALUE!</v>
      </c>
      <c r="W141" s="248" t="s">
        <v>81</v>
      </c>
      <c r="X141" s="261" t="e">
        <f>VLOOKUP($A141,[1]Planilha!$A$18:$BK$553,50,FALSE)</f>
        <v>#N/A</v>
      </c>
      <c r="Y141" s="261" t="e">
        <f t="shared" si="125"/>
        <v>#VALUE!</v>
      </c>
      <c r="Z141" s="249" t="s">
        <v>82</v>
      </c>
      <c r="AA141" s="261" t="e">
        <f>VLOOKUP($A141,[1]Planilha!$A$18:$BK$553,58,FALSE)</f>
        <v>#N/A</v>
      </c>
      <c r="AB141" s="261" t="e">
        <f t="shared" si="126"/>
        <v>#VALUE!</v>
      </c>
      <c r="AC141" s="248" t="s">
        <v>81</v>
      </c>
      <c r="AD141" s="261" t="e">
        <f>VLOOKUP($A141,[1]Planilha!$A$18:$BK$553,49,FALSE)</f>
        <v>#N/A</v>
      </c>
      <c r="AE141" s="261" t="e">
        <f t="shared" si="127"/>
        <v>#VALUE!</v>
      </c>
      <c r="AF141" s="322" t="s">
        <v>82</v>
      </c>
      <c r="AG141" s="261" t="e">
        <f>VLOOKUP($A141,[1]Planilha!$A$18:$BK$553,57,FALSE)</f>
        <v>#N/A</v>
      </c>
      <c r="AH141" s="261" t="e">
        <f t="shared" si="128"/>
        <v>#VALUE!</v>
      </c>
    </row>
    <row r="142" spans="1:46" s="124" customFormat="1" ht="13.5" customHeight="1" thickBot="1">
      <c r="A142" s="450"/>
      <c r="B142" s="155" t="s">
        <v>14</v>
      </c>
      <c r="C142" s="156" t="s">
        <v>379</v>
      </c>
      <c r="D142" s="163" t="s">
        <v>84</v>
      </c>
      <c r="E142" s="251" t="s">
        <v>85</v>
      </c>
      <c r="F142" s="261" t="e">
        <f>VLOOKUP($A142,[1]Planilha!$A$18:$BK$553,54,FALSE)</f>
        <v>#N/A</v>
      </c>
      <c r="G142" s="261" t="e">
        <f t="shared" si="119"/>
        <v>#VALUE!</v>
      </c>
      <c r="H142" s="252" t="s">
        <v>297</v>
      </c>
      <c r="I142" s="261" t="e">
        <f>VLOOKUP($A142,[1]Planilha!$A$18:$BK$553,62,FALSE)</f>
        <v>#N/A</v>
      </c>
      <c r="J142" s="261" t="e">
        <f t="shared" si="120"/>
        <v>#VALUE!</v>
      </c>
      <c r="K142" s="251" t="s">
        <v>85</v>
      </c>
      <c r="L142" s="261" t="e">
        <f>VLOOKUP($A142,[1]Planilha!$A$18:$BK$553,52,FALSE)</f>
        <v>#N/A</v>
      </c>
      <c r="M142" s="261" t="e">
        <f t="shared" si="121"/>
        <v>#VALUE!</v>
      </c>
      <c r="N142" s="252" t="s">
        <v>297</v>
      </c>
      <c r="O142" s="261" t="e">
        <f>VLOOKUP($A142,[1]Planilha!$A$18:$BK$553,60,FALSE)</f>
        <v>#N/A</v>
      </c>
      <c r="P142" s="261" t="e">
        <f t="shared" si="122"/>
        <v>#VALUE!</v>
      </c>
      <c r="Q142" s="251" t="s">
        <v>85</v>
      </c>
      <c r="R142" s="261" t="e">
        <f>VLOOKUP($A142,[1]Planilha!$A$18:$BK$553,51,FALSE)</f>
        <v>#N/A</v>
      </c>
      <c r="S142" s="261" t="e">
        <f t="shared" si="123"/>
        <v>#VALUE!</v>
      </c>
      <c r="T142" s="252" t="s">
        <v>297</v>
      </c>
      <c r="U142" s="261" t="e">
        <f>VLOOKUP($A142,[1]Planilha!$A$18:$BK$553,59,FALSE)</f>
        <v>#N/A</v>
      </c>
      <c r="V142" s="261" t="e">
        <f t="shared" si="124"/>
        <v>#VALUE!</v>
      </c>
      <c r="W142" s="251" t="s">
        <v>85</v>
      </c>
      <c r="X142" s="261" t="e">
        <f>VLOOKUP($A142,[1]Planilha!$A$18:$BK$553,50,FALSE)</f>
        <v>#N/A</v>
      </c>
      <c r="Y142" s="261" t="e">
        <f t="shared" si="125"/>
        <v>#VALUE!</v>
      </c>
      <c r="Z142" s="252" t="s">
        <v>297</v>
      </c>
      <c r="AA142" s="261" t="e">
        <f>VLOOKUP($A142,[1]Planilha!$A$18:$BK$553,58,FALSE)</f>
        <v>#N/A</v>
      </c>
      <c r="AB142" s="261" t="e">
        <f t="shared" si="126"/>
        <v>#VALUE!</v>
      </c>
      <c r="AC142" s="251" t="s">
        <v>85</v>
      </c>
      <c r="AD142" s="261" t="e">
        <f>VLOOKUP($A142,[1]Planilha!$A$18:$BK$553,49,FALSE)</f>
        <v>#N/A</v>
      </c>
      <c r="AE142" s="261" t="e">
        <f t="shared" si="127"/>
        <v>#VALUE!</v>
      </c>
      <c r="AF142" s="323" t="s">
        <v>297</v>
      </c>
      <c r="AG142" s="261" t="e">
        <f>VLOOKUP($A142,[1]Planilha!$A$18:$BK$553,57,FALSE)</f>
        <v>#N/A</v>
      </c>
      <c r="AH142" s="261" t="e">
        <f t="shared" si="128"/>
        <v>#VALUE!</v>
      </c>
    </row>
    <row r="143" spans="1:46" s="124" customFormat="1" ht="15">
      <c r="A143" s="414"/>
      <c r="B143" s="339" t="s">
        <v>373</v>
      </c>
      <c r="C143" s="338"/>
      <c r="D143" s="106"/>
      <c r="E143" s="182"/>
      <c r="F143" s="261" t="e">
        <f>VLOOKUP($A143,[1]Planilha!$A$18:$BK$553,54,FALSE)</f>
        <v>#N/A</v>
      </c>
      <c r="G143" s="261" t="e">
        <f t="shared" si="119"/>
        <v>#N/A</v>
      </c>
      <c r="H143" s="183"/>
      <c r="I143" s="261" t="e">
        <f>VLOOKUP($A143,[1]Planilha!$A$18:$BK$553,62,FALSE)</f>
        <v>#N/A</v>
      </c>
      <c r="J143" s="261" t="e">
        <f t="shared" si="120"/>
        <v>#N/A</v>
      </c>
      <c r="K143" s="212"/>
      <c r="L143" s="261" t="e">
        <f>VLOOKUP($A143,[1]Planilha!$A$18:$BK$553,52,FALSE)</f>
        <v>#N/A</v>
      </c>
      <c r="M143" s="261" t="e">
        <f t="shared" si="121"/>
        <v>#N/A</v>
      </c>
      <c r="N143" s="213"/>
      <c r="O143" s="261" t="e">
        <f>VLOOKUP($A143,[1]Planilha!$A$18:$BK$553,60,FALSE)</f>
        <v>#N/A</v>
      </c>
      <c r="P143" s="261" t="e">
        <f t="shared" si="122"/>
        <v>#N/A</v>
      </c>
      <c r="Q143" s="212"/>
      <c r="R143" s="261" t="e">
        <f>VLOOKUP($A143,[1]Planilha!$A$18:$BK$553,51,FALSE)</f>
        <v>#N/A</v>
      </c>
      <c r="S143" s="261" t="e">
        <f t="shared" si="123"/>
        <v>#N/A</v>
      </c>
      <c r="T143" s="213"/>
      <c r="U143" s="261" t="e">
        <f>VLOOKUP($A143,[1]Planilha!$A$18:$BK$553,59,FALSE)</f>
        <v>#N/A</v>
      </c>
      <c r="V143" s="261" t="e">
        <f t="shared" si="124"/>
        <v>#N/A</v>
      </c>
      <c r="W143" s="212"/>
      <c r="X143" s="261" t="e">
        <f>VLOOKUP($A143,[1]Planilha!$A$18:$BK$553,50,FALSE)</f>
        <v>#N/A</v>
      </c>
      <c r="Y143" s="261" t="e">
        <f t="shared" si="125"/>
        <v>#N/A</v>
      </c>
      <c r="Z143" s="213"/>
      <c r="AA143" s="261" t="e">
        <f>VLOOKUP($A143,[1]Planilha!$A$18:$BK$553,58,FALSE)</f>
        <v>#N/A</v>
      </c>
      <c r="AB143" s="261" t="e">
        <f t="shared" si="126"/>
        <v>#N/A</v>
      </c>
      <c r="AC143" s="212"/>
      <c r="AD143" s="261" t="e">
        <f>VLOOKUP($A143,[1]Planilha!$A$18:$BK$553,49,FALSE)</f>
        <v>#N/A</v>
      </c>
      <c r="AE143" s="261" t="e">
        <f t="shared" si="127"/>
        <v>#N/A</v>
      </c>
      <c r="AF143" s="324"/>
      <c r="AG143" s="261" t="e">
        <f>VLOOKUP($A143,[1]Planilha!$A$18:$BK$553,57,FALSE)</f>
        <v>#N/A</v>
      </c>
      <c r="AH143" s="261" t="e">
        <f t="shared" si="128"/>
        <v>#N/A</v>
      </c>
    </row>
    <row r="144" spans="1:46" s="124" customFormat="1">
      <c r="A144" s="232">
        <v>7891721021220</v>
      </c>
      <c r="B144" s="205">
        <v>1008903350034</v>
      </c>
      <c r="C144" s="126" t="s">
        <v>579</v>
      </c>
      <c r="D144" s="206" t="s">
        <v>639</v>
      </c>
      <c r="E144" s="267">
        <f>ROUND(K144*1.025,2)</f>
        <v>901.51</v>
      </c>
      <c r="F144" s="261">
        <f>VLOOKUP($A144,[1]Planilha!$A$18:$BK$553,54,FALSE)</f>
        <v>890.38</v>
      </c>
      <c r="G144" s="261">
        <f t="shared" si="119"/>
        <v>11.129999999999995</v>
      </c>
      <c r="H144" s="267">
        <f>ROUND(E144/0.723358,2)</f>
        <v>1246.28</v>
      </c>
      <c r="I144" s="261">
        <f>VLOOKUP($A144,[1]Planilha!$A$18:$BK$553,62,FALSE)</f>
        <v>1246.28</v>
      </c>
      <c r="J144" s="261">
        <f t="shared" si="120"/>
        <v>0</v>
      </c>
      <c r="K144" s="267">
        <f>VLOOKUP(A144,[2]Plan1!$H$2:$J$279,3,FALSE)</f>
        <v>879.52099200000009</v>
      </c>
      <c r="L144" s="261">
        <f>VLOOKUP($A144,[1]Planilha!$A$18:$BK$553,52,FALSE)</f>
        <v>879.52</v>
      </c>
      <c r="M144" s="261">
        <f t="shared" si="121"/>
        <v>9.9200000011023803E-4</v>
      </c>
      <c r="N144" s="484">
        <v>1215.8800000000001</v>
      </c>
      <c r="O144" s="261">
        <f>VLOOKUP($A144,[1]Planilha!$A$18:$BK$553,60,FALSE)</f>
        <v>1215.8800000000001</v>
      </c>
      <c r="P144" s="261">
        <f t="shared" si="122"/>
        <v>0</v>
      </c>
      <c r="Q144" s="267">
        <f>ROUND(K144*0.993939,2)</f>
        <v>874.19</v>
      </c>
      <c r="R144" s="261">
        <f>VLOOKUP($A144,[1]Planilha!$A$18:$BK$553,51,FALSE)</f>
        <v>874.19</v>
      </c>
      <c r="S144" s="261">
        <f t="shared" si="123"/>
        <v>0</v>
      </c>
      <c r="T144" s="267">
        <f>ROUND(Q144/0.723358,2)</f>
        <v>1208.52</v>
      </c>
      <c r="U144" s="261">
        <f>VLOOKUP($A144,[1]Planilha!$A$18:$BK$553,59,FALSE)</f>
        <v>1208.52</v>
      </c>
      <c r="V144" s="261">
        <f t="shared" si="124"/>
        <v>0</v>
      </c>
      <c r="W144" s="267">
        <f t="shared" ref="W144:W145" si="129">ROUND(K144*0.987952,2)</f>
        <v>868.92</v>
      </c>
      <c r="X144" s="261">
        <f>VLOOKUP($A144,[1]Planilha!$A$18:$BK$553,50,FALSE)</f>
        <v>868.92</v>
      </c>
      <c r="Y144" s="261">
        <f t="shared" si="125"/>
        <v>0</v>
      </c>
      <c r="Z144" s="267">
        <f t="shared" ref="Z144:Z145" si="130">ROUND(W144/0.723358,2)</f>
        <v>1201.23</v>
      </c>
      <c r="AA144" s="261">
        <f>VLOOKUP($A144,[1]Planilha!$A$18:$BK$553,58,FALSE)</f>
        <v>1201.23</v>
      </c>
      <c r="AB144" s="261">
        <f t="shared" si="126"/>
        <v>0</v>
      </c>
      <c r="AC144" s="267">
        <f t="shared" ref="AC144:AC145" si="131">ROUND(K144*0.931818,2)</f>
        <v>819.55</v>
      </c>
      <c r="AD144" s="261">
        <f>VLOOKUP($A144,[1]Planilha!$A$18:$BK$553,49,FALSE)</f>
        <v>819.55</v>
      </c>
      <c r="AE144" s="261">
        <f t="shared" si="127"/>
        <v>0</v>
      </c>
      <c r="AF144" s="267">
        <f t="shared" ref="AF144:AF145" si="132">ROUND(AC144/0.723358,2)</f>
        <v>1132.98</v>
      </c>
      <c r="AG144" s="261">
        <f>VLOOKUP($A144,[1]Planilha!$A$18:$BK$553,57,FALSE)</f>
        <v>1132.98</v>
      </c>
      <c r="AH144" s="261">
        <f t="shared" si="128"/>
        <v>0</v>
      </c>
    </row>
    <row r="145" spans="1:46" s="124" customFormat="1" ht="13.5" thickBot="1">
      <c r="A145" s="683">
        <v>7891721021213</v>
      </c>
      <c r="B145" s="340">
        <v>1008903350050</v>
      </c>
      <c r="C145" s="340" t="s">
        <v>580</v>
      </c>
      <c r="D145" s="341" t="s">
        <v>640</v>
      </c>
      <c r="E145" s="275">
        <f>ROUND(K145*1.025,2)</f>
        <v>4507.42</v>
      </c>
      <c r="F145" s="261">
        <f>VLOOKUP($A145,[1]Planilha!$A$18:$BK$553,54,FALSE)</f>
        <v>4451.79</v>
      </c>
      <c r="G145" s="261">
        <f t="shared" si="119"/>
        <v>55.630000000000109</v>
      </c>
      <c r="H145" s="275">
        <f>ROUND(E145/0.723358,2)</f>
        <v>6231.24</v>
      </c>
      <c r="I145" s="261">
        <f>VLOOKUP($A145,[1]Planilha!$A$18:$BK$553,62,FALSE)</f>
        <v>6231.24</v>
      </c>
      <c r="J145" s="261">
        <f t="shared" si="120"/>
        <v>0</v>
      </c>
      <c r="K145" s="267">
        <f>VLOOKUP(A145,[2]Plan1!$H$2:$J$279,3,FALSE)</f>
        <v>4397.4833280000003</v>
      </c>
      <c r="L145" s="261">
        <f>VLOOKUP($A145,[1]Planilha!$A$18:$BK$553,52,FALSE)</f>
        <v>4397.4799999999996</v>
      </c>
      <c r="M145" s="261">
        <f t="shared" si="121"/>
        <v>3.3280000006925547E-3</v>
      </c>
      <c r="N145" s="275">
        <f>ROUND(K145/0.723358,2)</f>
        <v>6079.26</v>
      </c>
      <c r="O145" s="261">
        <f>VLOOKUP($A145,[1]Planilha!$A$18:$BK$553,60,FALSE)</f>
        <v>6079.26</v>
      </c>
      <c r="P145" s="261">
        <f t="shared" si="122"/>
        <v>0</v>
      </c>
      <c r="Q145" s="275">
        <f>ROUND(K145*0.993939,2)</f>
        <v>4370.83</v>
      </c>
      <c r="R145" s="261">
        <f>VLOOKUP($A145,[1]Planilha!$A$18:$BK$553,51,FALSE)</f>
        <v>4370.83</v>
      </c>
      <c r="S145" s="261">
        <f t="shared" si="123"/>
        <v>0</v>
      </c>
      <c r="T145" s="275">
        <f>ROUND(Q145/0.723358,2)</f>
        <v>6042.42</v>
      </c>
      <c r="U145" s="261">
        <f>VLOOKUP($A145,[1]Planilha!$A$18:$BK$553,59,FALSE)</f>
        <v>6042.42</v>
      </c>
      <c r="V145" s="261">
        <f t="shared" si="124"/>
        <v>0</v>
      </c>
      <c r="W145" s="275">
        <f t="shared" si="129"/>
        <v>4344.5</v>
      </c>
      <c r="X145" s="261">
        <f>VLOOKUP($A145,[1]Planilha!$A$18:$BK$553,50,FALSE)</f>
        <v>4344.5</v>
      </c>
      <c r="Y145" s="261">
        <f t="shared" si="125"/>
        <v>0</v>
      </c>
      <c r="Z145" s="275">
        <f t="shared" si="130"/>
        <v>6006.02</v>
      </c>
      <c r="AA145" s="261">
        <f>VLOOKUP($A145,[1]Planilha!$A$18:$BK$553,58,FALSE)</f>
        <v>6006.02</v>
      </c>
      <c r="AB145" s="261">
        <f t="shared" si="126"/>
        <v>0</v>
      </c>
      <c r="AC145" s="275">
        <f t="shared" si="131"/>
        <v>4097.6499999999996</v>
      </c>
      <c r="AD145" s="261">
        <f>VLOOKUP($A145,[1]Planilha!$A$18:$BK$553,49,FALSE)</f>
        <v>4097.6499999999996</v>
      </c>
      <c r="AE145" s="261">
        <f t="shared" si="127"/>
        <v>0</v>
      </c>
      <c r="AF145" s="275">
        <f t="shared" si="132"/>
        <v>5664.76</v>
      </c>
      <c r="AG145" s="261">
        <f>VLOOKUP($A145,[1]Planilha!$A$18:$BK$553,57,FALSE)</f>
        <v>5664.76</v>
      </c>
      <c r="AH145" s="261">
        <f t="shared" si="128"/>
        <v>0</v>
      </c>
    </row>
    <row r="146" spans="1:46" s="124" customFormat="1" ht="16.5" customHeight="1" thickBot="1">
      <c r="A146" s="675" t="s">
        <v>295</v>
      </c>
      <c r="B146" s="451" t="s">
        <v>321</v>
      </c>
      <c r="C146" s="466"/>
      <c r="D146" s="471"/>
      <c r="E146" s="464" t="s">
        <v>741</v>
      </c>
      <c r="F146" s="261" t="e">
        <f>VLOOKUP($A146,[1]Planilha!$A$18:$BK$553,54,FALSE)</f>
        <v>#N/A</v>
      </c>
      <c r="G146" s="261" t="e">
        <f t="shared" si="119"/>
        <v>#VALUE!</v>
      </c>
      <c r="H146" s="468"/>
      <c r="I146" s="261" t="e">
        <f>VLOOKUP($A146,[1]Planilha!$A$18:$BK$553,62,FALSE)</f>
        <v>#N/A</v>
      </c>
      <c r="J146" s="261" t="e">
        <f t="shared" si="120"/>
        <v>#N/A</v>
      </c>
      <c r="K146" s="463" t="s">
        <v>292</v>
      </c>
      <c r="L146" s="261" t="e">
        <f>VLOOKUP($A146,[1]Planilha!$A$18:$BK$553,52,FALSE)</f>
        <v>#N/A</v>
      </c>
      <c r="M146" s="261" t="e">
        <f t="shared" si="121"/>
        <v>#VALUE!</v>
      </c>
      <c r="N146" s="468"/>
      <c r="O146" s="261" t="e">
        <f>VLOOKUP($A146,[1]Planilha!$A$18:$BK$553,60,FALSE)</f>
        <v>#N/A</v>
      </c>
      <c r="P146" s="261" t="e">
        <f t="shared" si="122"/>
        <v>#N/A</v>
      </c>
      <c r="Q146" s="463" t="s">
        <v>740</v>
      </c>
      <c r="R146" s="261" t="e">
        <f>VLOOKUP($A146,[1]Planilha!$A$18:$BK$553,51,FALSE)</f>
        <v>#N/A</v>
      </c>
      <c r="S146" s="261" t="e">
        <f t="shared" si="123"/>
        <v>#VALUE!</v>
      </c>
      <c r="T146" s="464"/>
      <c r="U146" s="261" t="e">
        <f>VLOOKUP($A146,[1]Planilha!$A$18:$BK$553,59,FALSE)</f>
        <v>#N/A</v>
      </c>
      <c r="V146" s="261" t="e">
        <f t="shared" si="124"/>
        <v>#N/A</v>
      </c>
      <c r="W146" s="463" t="s">
        <v>293</v>
      </c>
      <c r="X146" s="261" t="e">
        <f>VLOOKUP($A146,[1]Planilha!$A$18:$BK$553,50,FALSE)</f>
        <v>#N/A</v>
      </c>
      <c r="Y146" s="261" t="e">
        <f t="shared" si="125"/>
        <v>#VALUE!</v>
      </c>
      <c r="Z146" s="464"/>
      <c r="AA146" s="261" t="e">
        <f>VLOOKUP($A146,[1]Planilha!$A$18:$BK$553,58,FALSE)</f>
        <v>#N/A</v>
      </c>
      <c r="AB146" s="261" t="e">
        <f t="shared" si="126"/>
        <v>#N/A</v>
      </c>
      <c r="AC146" s="463" t="s">
        <v>322</v>
      </c>
      <c r="AD146" s="261" t="e">
        <f>VLOOKUP($A146,[1]Planilha!$A$18:$BK$553,49,FALSE)</f>
        <v>#N/A</v>
      </c>
      <c r="AE146" s="261" t="e">
        <f t="shared" si="127"/>
        <v>#VALUE!</v>
      </c>
      <c r="AF146" s="469"/>
      <c r="AG146" s="261" t="e">
        <f>VLOOKUP($A146,[1]Planilha!$A$18:$BK$553,57,FALSE)</f>
        <v>#N/A</v>
      </c>
      <c r="AH146" s="261" t="e">
        <f t="shared" si="128"/>
        <v>#N/A</v>
      </c>
    </row>
    <row r="147" spans="1:46" s="124" customFormat="1" ht="12.75" customHeight="1">
      <c r="A147" s="676" t="s">
        <v>296</v>
      </c>
      <c r="B147" s="173" t="s">
        <v>13</v>
      </c>
      <c r="C147" s="119" t="s">
        <v>83</v>
      </c>
      <c r="D147" s="101"/>
      <c r="E147" s="111" t="s">
        <v>81</v>
      </c>
      <c r="F147" s="261" t="e">
        <f>VLOOKUP($A147,[1]Planilha!$A$18:$BK$553,54,FALSE)</f>
        <v>#N/A</v>
      </c>
      <c r="G147" s="261" t="e">
        <f t="shared" si="119"/>
        <v>#VALUE!</v>
      </c>
      <c r="H147" s="110" t="s">
        <v>82</v>
      </c>
      <c r="I147" s="261" t="e">
        <f>VLOOKUP($A147,[1]Planilha!$A$18:$BK$553,62,FALSE)</f>
        <v>#N/A</v>
      </c>
      <c r="J147" s="261" t="e">
        <f t="shared" si="120"/>
        <v>#VALUE!</v>
      </c>
      <c r="K147" s="111" t="s">
        <v>81</v>
      </c>
      <c r="L147" s="261" t="e">
        <f>VLOOKUP($A147,[1]Planilha!$A$18:$BK$553,52,FALSE)</f>
        <v>#N/A</v>
      </c>
      <c r="M147" s="261" t="e">
        <f t="shared" si="121"/>
        <v>#VALUE!</v>
      </c>
      <c r="N147" s="110" t="s">
        <v>82</v>
      </c>
      <c r="O147" s="261" t="e">
        <f>VLOOKUP($A147,[1]Planilha!$A$18:$BK$553,60,FALSE)</f>
        <v>#N/A</v>
      </c>
      <c r="P147" s="261" t="e">
        <f t="shared" si="122"/>
        <v>#VALUE!</v>
      </c>
      <c r="Q147" s="111" t="s">
        <v>81</v>
      </c>
      <c r="R147" s="261" t="e">
        <f>VLOOKUP($A147,[1]Planilha!$A$18:$BK$553,51,FALSE)</f>
        <v>#N/A</v>
      </c>
      <c r="S147" s="261" t="e">
        <f t="shared" si="123"/>
        <v>#VALUE!</v>
      </c>
      <c r="T147" s="110" t="s">
        <v>82</v>
      </c>
      <c r="U147" s="261" t="e">
        <f>VLOOKUP($A147,[1]Planilha!$A$18:$BK$553,59,FALSE)</f>
        <v>#N/A</v>
      </c>
      <c r="V147" s="261" t="e">
        <f t="shared" si="124"/>
        <v>#VALUE!</v>
      </c>
      <c r="W147" s="111" t="s">
        <v>81</v>
      </c>
      <c r="X147" s="261" t="e">
        <f>VLOOKUP($A147,[1]Planilha!$A$18:$BK$553,50,FALSE)</f>
        <v>#N/A</v>
      </c>
      <c r="Y147" s="261" t="e">
        <f t="shared" si="125"/>
        <v>#VALUE!</v>
      </c>
      <c r="Z147" s="110" t="s">
        <v>82</v>
      </c>
      <c r="AA147" s="261" t="e">
        <f>VLOOKUP($A147,[1]Planilha!$A$18:$BK$553,58,FALSE)</f>
        <v>#N/A</v>
      </c>
      <c r="AB147" s="261" t="e">
        <f t="shared" si="126"/>
        <v>#VALUE!</v>
      </c>
      <c r="AC147" s="111" t="s">
        <v>81</v>
      </c>
      <c r="AD147" s="261" t="e">
        <f>VLOOKUP($A147,[1]Planilha!$A$18:$BK$553,49,FALSE)</f>
        <v>#N/A</v>
      </c>
      <c r="AE147" s="261" t="e">
        <f t="shared" si="127"/>
        <v>#VALUE!</v>
      </c>
      <c r="AF147" s="112" t="s">
        <v>82</v>
      </c>
      <c r="AG147" s="261" t="e">
        <f>VLOOKUP($A147,[1]Planilha!$A$18:$BK$553,57,FALSE)</f>
        <v>#N/A</v>
      </c>
      <c r="AH147" s="261" t="e">
        <f t="shared" si="128"/>
        <v>#VALUE!</v>
      </c>
    </row>
    <row r="148" spans="1:46" s="124" customFormat="1" ht="15" customHeight="1" thickBot="1">
      <c r="A148" s="677"/>
      <c r="B148" s="174" t="s">
        <v>14</v>
      </c>
      <c r="C148" s="165" t="s">
        <v>379</v>
      </c>
      <c r="D148" s="157" t="s">
        <v>84</v>
      </c>
      <c r="E148" s="158" t="s">
        <v>85</v>
      </c>
      <c r="F148" s="261" t="e">
        <f>VLOOKUP($A148,[1]Planilha!$A$18:$BK$553,54,FALSE)</f>
        <v>#N/A</v>
      </c>
      <c r="G148" s="261" t="e">
        <f t="shared" si="119"/>
        <v>#VALUE!</v>
      </c>
      <c r="H148" s="159" t="s">
        <v>297</v>
      </c>
      <c r="I148" s="261" t="e">
        <f>VLOOKUP($A148,[1]Planilha!$A$18:$BK$553,62,FALSE)</f>
        <v>#N/A</v>
      </c>
      <c r="J148" s="261" t="e">
        <f t="shared" si="120"/>
        <v>#VALUE!</v>
      </c>
      <c r="K148" s="158" t="s">
        <v>85</v>
      </c>
      <c r="L148" s="261" t="e">
        <f>VLOOKUP($A148,[1]Planilha!$A$18:$BK$553,52,FALSE)</f>
        <v>#N/A</v>
      </c>
      <c r="M148" s="261" t="e">
        <f t="shared" si="121"/>
        <v>#VALUE!</v>
      </c>
      <c r="N148" s="159" t="s">
        <v>297</v>
      </c>
      <c r="O148" s="261" t="e">
        <f>VLOOKUP($A148,[1]Planilha!$A$18:$BK$553,60,FALSE)</f>
        <v>#N/A</v>
      </c>
      <c r="P148" s="261" t="e">
        <f t="shared" si="122"/>
        <v>#VALUE!</v>
      </c>
      <c r="Q148" s="158" t="s">
        <v>85</v>
      </c>
      <c r="R148" s="261" t="e">
        <f>VLOOKUP($A148,[1]Planilha!$A$18:$BK$553,51,FALSE)</f>
        <v>#N/A</v>
      </c>
      <c r="S148" s="261" t="e">
        <f t="shared" si="123"/>
        <v>#VALUE!</v>
      </c>
      <c r="T148" s="159" t="s">
        <v>297</v>
      </c>
      <c r="U148" s="261" t="e">
        <f>VLOOKUP($A148,[1]Planilha!$A$18:$BK$553,59,FALSE)</f>
        <v>#N/A</v>
      </c>
      <c r="V148" s="261" t="e">
        <f t="shared" si="124"/>
        <v>#VALUE!</v>
      </c>
      <c r="W148" s="158" t="s">
        <v>85</v>
      </c>
      <c r="X148" s="261" t="e">
        <f>VLOOKUP($A148,[1]Planilha!$A$18:$BK$553,50,FALSE)</f>
        <v>#N/A</v>
      </c>
      <c r="Y148" s="261" t="e">
        <f t="shared" si="125"/>
        <v>#VALUE!</v>
      </c>
      <c r="Z148" s="159" t="s">
        <v>297</v>
      </c>
      <c r="AA148" s="261" t="e">
        <f>VLOOKUP($A148,[1]Planilha!$A$18:$BK$553,58,FALSE)</f>
        <v>#N/A</v>
      </c>
      <c r="AB148" s="261" t="e">
        <f t="shared" si="126"/>
        <v>#VALUE!</v>
      </c>
      <c r="AC148" s="158" t="s">
        <v>85</v>
      </c>
      <c r="AD148" s="261" t="e">
        <f>VLOOKUP($A148,[1]Planilha!$A$18:$BK$553,49,FALSE)</f>
        <v>#N/A</v>
      </c>
      <c r="AE148" s="261" t="e">
        <f t="shared" si="127"/>
        <v>#VALUE!</v>
      </c>
      <c r="AF148" s="162" t="s">
        <v>297</v>
      </c>
      <c r="AG148" s="261" t="e">
        <f>VLOOKUP($A148,[1]Planilha!$A$18:$BK$553,57,FALSE)</f>
        <v>#N/A</v>
      </c>
      <c r="AH148" s="261" t="e">
        <f t="shared" si="128"/>
        <v>#VALUE!</v>
      </c>
    </row>
    <row r="149" spans="1:46" ht="15">
      <c r="A149" s="684"/>
      <c r="B149" s="137" t="s">
        <v>323</v>
      </c>
      <c r="C149" s="137"/>
      <c r="D149" s="180"/>
      <c r="E149" s="293"/>
      <c r="F149" s="261" t="e">
        <f>VLOOKUP($A149,[1]Planilha!$A$18:$BK$553,54,FALSE)</f>
        <v>#N/A</v>
      </c>
      <c r="G149" s="261" t="e">
        <f t="shared" si="119"/>
        <v>#N/A</v>
      </c>
      <c r="H149" s="294"/>
      <c r="I149" s="261" t="e">
        <f>VLOOKUP($A149,[1]Planilha!$A$18:$BK$553,62,FALSE)</f>
        <v>#N/A</v>
      </c>
      <c r="J149" s="261" t="e">
        <f t="shared" si="120"/>
        <v>#N/A</v>
      </c>
      <c r="K149" s="293"/>
      <c r="L149" s="261" t="e">
        <f>VLOOKUP($A149,[1]Planilha!$A$18:$BK$553,52,FALSE)</f>
        <v>#N/A</v>
      </c>
      <c r="M149" s="261" t="e">
        <f t="shared" si="121"/>
        <v>#N/A</v>
      </c>
      <c r="N149" s="294"/>
      <c r="O149" s="261" t="e">
        <f>VLOOKUP($A149,[1]Planilha!$A$18:$BK$553,60,FALSE)</f>
        <v>#N/A</v>
      </c>
      <c r="P149" s="261" t="e">
        <f t="shared" si="122"/>
        <v>#N/A</v>
      </c>
      <c r="Q149" s="293"/>
      <c r="R149" s="261" t="e">
        <f>VLOOKUP($A149,[1]Planilha!$A$18:$BK$553,51,FALSE)</f>
        <v>#N/A</v>
      </c>
      <c r="S149" s="261" t="e">
        <f t="shared" si="123"/>
        <v>#N/A</v>
      </c>
      <c r="T149" s="294"/>
      <c r="U149" s="261" t="e">
        <f>VLOOKUP($A149,[1]Planilha!$A$18:$BK$553,59,FALSE)</f>
        <v>#N/A</v>
      </c>
      <c r="V149" s="261" t="e">
        <f t="shared" si="124"/>
        <v>#N/A</v>
      </c>
      <c r="W149" s="293"/>
      <c r="X149" s="261" t="e">
        <f>VLOOKUP($A149,[1]Planilha!$A$18:$BK$553,50,FALSE)</f>
        <v>#N/A</v>
      </c>
      <c r="Y149" s="261" t="e">
        <f t="shared" si="125"/>
        <v>#N/A</v>
      </c>
      <c r="Z149" s="294"/>
      <c r="AA149" s="261" t="e">
        <f>VLOOKUP($A149,[1]Planilha!$A$18:$BK$553,58,FALSE)</f>
        <v>#N/A</v>
      </c>
      <c r="AB149" s="261" t="e">
        <f t="shared" si="126"/>
        <v>#N/A</v>
      </c>
      <c r="AC149" s="293"/>
      <c r="AD149" s="261" t="e">
        <f>VLOOKUP($A149,[1]Planilha!$A$18:$BK$553,49,FALSE)</f>
        <v>#N/A</v>
      </c>
      <c r="AE149" s="261" t="e">
        <f t="shared" si="127"/>
        <v>#N/A</v>
      </c>
      <c r="AF149" s="295"/>
      <c r="AG149" s="261" t="e">
        <f>VLOOKUP($A149,[1]Planilha!$A$18:$BK$553,57,FALSE)</f>
        <v>#N/A</v>
      </c>
      <c r="AH149" s="261" t="e">
        <f t="shared" si="128"/>
        <v>#N/A</v>
      </c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</row>
    <row r="150" spans="1:46">
      <c r="A150" s="229">
        <v>7891721023477</v>
      </c>
      <c r="B150" s="181" t="s">
        <v>26</v>
      </c>
      <c r="C150" s="123" t="s">
        <v>553</v>
      </c>
      <c r="D150" s="219" t="s">
        <v>324</v>
      </c>
      <c r="E150" s="282">
        <f>ROUND(K150*1.025,2)</f>
        <v>75.09</v>
      </c>
      <c r="F150" s="261">
        <f>VLOOKUP($A150,[1]Planilha!$A$18:$BK$553,54,FALSE)</f>
        <v>74.16</v>
      </c>
      <c r="G150" s="261">
        <f t="shared" si="119"/>
        <v>0.93000000000000682</v>
      </c>
      <c r="H150" s="282">
        <f>ROUND(E150/0.723358,2)</f>
        <v>103.81</v>
      </c>
      <c r="I150" s="261">
        <f>VLOOKUP($A150,[1]Planilha!$A$18:$BK$553,62,FALSE)</f>
        <v>103.81</v>
      </c>
      <c r="J150" s="261">
        <f t="shared" si="120"/>
        <v>0</v>
      </c>
      <c r="K150" s="282">
        <f>VLOOKUP(A150,[2]Plan1!$H$2:$J$279,3,FALSE)</f>
        <v>73.257824190712341</v>
      </c>
      <c r="L150" s="261">
        <f>VLOOKUP($A150,[1]Planilha!$A$18:$BK$553,52,FALSE)</f>
        <v>73.260000000000005</v>
      </c>
      <c r="M150" s="261">
        <f t="shared" si="121"/>
        <v>-2.1758092876638102E-3</v>
      </c>
      <c r="N150" s="282">
        <f>ROUND(K150/0.723358,2)</f>
        <v>101.27</v>
      </c>
      <c r="O150" s="261">
        <f>VLOOKUP($A150,[1]Planilha!$A$18:$BK$553,60,FALSE)</f>
        <v>101.27</v>
      </c>
      <c r="P150" s="261">
        <f t="shared" si="122"/>
        <v>0</v>
      </c>
      <c r="Q150" s="282">
        <f>ROUND(K150*0.993939,2)</f>
        <v>72.81</v>
      </c>
      <c r="R150" s="261">
        <f>VLOOKUP($A150,[1]Planilha!$A$18:$BK$553,51,FALSE)</f>
        <v>72.81</v>
      </c>
      <c r="S150" s="261">
        <f t="shared" si="123"/>
        <v>0</v>
      </c>
      <c r="T150" s="282">
        <f>ROUND(Q150/0.723358,2)</f>
        <v>100.66</v>
      </c>
      <c r="U150" s="261">
        <f>VLOOKUP($A150,[1]Planilha!$A$18:$BK$553,59,FALSE)</f>
        <v>100.66</v>
      </c>
      <c r="V150" s="261">
        <f t="shared" si="124"/>
        <v>0</v>
      </c>
      <c r="W150" s="492">
        <v>72.37</v>
      </c>
      <c r="X150" s="261">
        <f>VLOOKUP($A150,[1]Planilha!$A$18:$BK$553,50,FALSE)</f>
        <v>72.37</v>
      </c>
      <c r="Y150" s="261">
        <f t="shared" si="125"/>
        <v>0</v>
      </c>
      <c r="Z150" s="282">
        <f t="shared" ref="Z150:Z151" si="133">ROUND(W150/0.723358,2)</f>
        <v>100.05</v>
      </c>
      <c r="AA150" s="261">
        <f>VLOOKUP($A150,[1]Planilha!$A$18:$BK$553,58,FALSE)</f>
        <v>100.05</v>
      </c>
      <c r="AB150" s="261">
        <f t="shared" si="126"/>
        <v>0</v>
      </c>
      <c r="AC150" s="282">
        <f>ROUND(K150*0.931818,2)</f>
        <v>68.260000000000005</v>
      </c>
      <c r="AD150" s="261">
        <f>VLOOKUP($A150,[1]Planilha!$A$18:$BK$553,49,FALSE)</f>
        <v>68.260000000000005</v>
      </c>
      <c r="AE150" s="261">
        <f t="shared" si="127"/>
        <v>0</v>
      </c>
      <c r="AF150" s="283">
        <f t="shared" ref="AF150:AF151" si="134">ROUND(AC150/0.723358,2)</f>
        <v>94.37</v>
      </c>
      <c r="AG150" s="261">
        <f>VLOOKUP($A150,[1]Planilha!$A$18:$BK$553,57,FALSE)</f>
        <v>94.37</v>
      </c>
      <c r="AH150" s="261">
        <f t="shared" si="128"/>
        <v>0</v>
      </c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</row>
    <row r="151" spans="1:46">
      <c r="A151" s="229">
        <v>7891721023484</v>
      </c>
      <c r="B151" s="178" t="s">
        <v>27</v>
      </c>
      <c r="C151" s="128" t="s">
        <v>550</v>
      </c>
      <c r="D151" s="220" t="s">
        <v>325</v>
      </c>
      <c r="E151" s="289">
        <f>ROUND(K151*1.025,2)</f>
        <v>147.43</v>
      </c>
      <c r="F151" s="261">
        <f>VLOOKUP($A151,[1]Planilha!$A$18:$BK$553,54,FALSE)</f>
        <v>145.61000000000001</v>
      </c>
      <c r="G151" s="261">
        <f t="shared" si="119"/>
        <v>1.8199999999999932</v>
      </c>
      <c r="H151" s="289">
        <f>ROUND(E151/0.723358,2)</f>
        <v>203.81</v>
      </c>
      <c r="I151" s="261">
        <f>VLOOKUP($A151,[1]Planilha!$A$18:$BK$553,62,FALSE)</f>
        <v>203.81</v>
      </c>
      <c r="J151" s="261">
        <f t="shared" si="120"/>
        <v>0</v>
      </c>
      <c r="K151" s="282">
        <f>VLOOKUP(A151,[2]Plan1!$H$2:$J$279,3,FALSE)</f>
        <v>143.83382327162599</v>
      </c>
      <c r="L151" s="261">
        <f>VLOOKUP($A151,[1]Planilha!$A$18:$BK$553,52,FALSE)</f>
        <v>143.83000000000001</v>
      </c>
      <c r="M151" s="261">
        <f t="shared" si="121"/>
        <v>3.8232716259756216E-3</v>
      </c>
      <c r="N151" s="289">
        <f>ROUND(K151/0.723358,2)</f>
        <v>198.84</v>
      </c>
      <c r="O151" s="261">
        <f>VLOOKUP($A151,[1]Planilha!$A$18:$BK$553,60,FALSE)</f>
        <v>198.84</v>
      </c>
      <c r="P151" s="261">
        <f t="shared" si="122"/>
        <v>0</v>
      </c>
      <c r="Q151" s="289">
        <f>ROUND(K151*0.993939,2)</f>
        <v>142.96</v>
      </c>
      <c r="R151" s="261">
        <f>VLOOKUP($A151,[1]Planilha!$A$18:$BK$553,51,FALSE)</f>
        <v>142.96</v>
      </c>
      <c r="S151" s="261">
        <f t="shared" si="123"/>
        <v>0</v>
      </c>
      <c r="T151" s="289">
        <f>ROUND(Q151/0.723358,2)</f>
        <v>197.63</v>
      </c>
      <c r="U151" s="261">
        <f>VLOOKUP($A151,[1]Planilha!$A$18:$BK$553,59,FALSE)</f>
        <v>197.63</v>
      </c>
      <c r="V151" s="261">
        <f t="shared" si="124"/>
        <v>0</v>
      </c>
      <c r="W151" s="289">
        <f t="shared" ref="W151" si="135">ROUND(K151*0.987952,2)</f>
        <v>142.1</v>
      </c>
      <c r="X151" s="261">
        <f>VLOOKUP($A151,[1]Planilha!$A$18:$BK$553,50,FALSE)</f>
        <v>142.1</v>
      </c>
      <c r="Y151" s="261">
        <f t="shared" si="125"/>
        <v>0</v>
      </c>
      <c r="Z151" s="289">
        <f t="shared" si="133"/>
        <v>196.44</v>
      </c>
      <c r="AA151" s="261">
        <f>VLOOKUP($A151,[1]Planilha!$A$18:$BK$553,58,FALSE)</f>
        <v>196.44</v>
      </c>
      <c r="AB151" s="261">
        <f t="shared" si="126"/>
        <v>0</v>
      </c>
      <c r="AC151" s="289">
        <f>ROUND(K151*0.931818,2)</f>
        <v>134.03</v>
      </c>
      <c r="AD151" s="261">
        <f>VLOOKUP($A151,[1]Planilha!$A$18:$BK$553,49,FALSE)</f>
        <v>134.03</v>
      </c>
      <c r="AE151" s="261">
        <f t="shared" si="127"/>
        <v>0</v>
      </c>
      <c r="AF151" s="290">
        <f t="shared" si="134"/>
        <v>185.29</v>
      </c>
      <c r="AG151" s="261">
        <f>VLOOKUP($A151,[1]Planilha!$A$18:$BK$553,57,FALSE)</f>
        <v>185.29</v>
      </c>
      <c r="AH151" s="261">
        <f t="shared" si="128"/>
        <v>0</v>
      </c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</row>
    <row r="152" spans="1:46" ht="15">
      <c r="A152" s="684"/>
      <c r="B152" s="137" t="s">
        <v>558</v>
      </c>
      <c r="C152" s="137"/>
      <c r="D152" s="180"/>
      <c r="E152" s="293"/>
      <c r="F152" s="261" t="e">
        <f>VLOOKUP($A152,[1]Planilha!$A$18:$BK$553,54,FALSE)</f>
        <v>#N/A</v>
      </c>
      <c r="G152" s="261" t="e">
        <f t="shared" si="119"/>
        <v>#N/A</v>
      </c>
      <c r="H152" s="294"/>
      <c r="I152" s="261" t="e">
        <f>VLOOKUP($A152,[1]Planilha!$A$18:$BK$553,62,FALSE)</f>
        <v>#N/A</v>
      </c>
      <c r="J152" s="261" t="e">
        <f t="shared" si="120"/>
        <v>#N/A</v>
      </c>
      <c r="K152" s="293"/>
      <c r="L152" s="261" t="e">
        <f>VLOOKUP($A152,[1]Planilha!$A$18:$BK$553,52,FALSE)</f>
        <v>#N/A</v>
      </c>
      <c r="M152" s="261" t="e">
        <f t="shared" si="121"/>
        <v>#N/A</v>
      </c>
      <c r="N152" s="294"/>
      <c r="O152" s="261" t="e">
        <f>VLOOKUP($A152,[1]Planilha!$A$18:$BK$553,60,FALSE)</f>
        <v>#N/A</v>
      </c>
      <c r="P152" s="261" t="e">
        <f t="shared" si="122"/>
        <v>#N/A</v>
      </c>
      <c r="Q152" s="293"/>
      <c r="R152" s="261" t="e">
        <f>VLOOKUP($A152,[1]Planilha!$A$18:$BK$553,51,FALSE)</f>
        <v>#N/A</v>
      </c>
      <c r="S152" s="261" t="e">
        <f t="shared" si="123"/>
        <v>#N/A</v>
      </c>
      <c r="T152" s="294"/>
      <c r="U152" s="261" t="e">
        <f>VLOOKUP($A152,[1]Planilha!$A$18:$BK$553,59,FALSE)</f>
        <v>#N/A</v>
      </c>
      <c r="V152" s="261" t="e">
        <f t="shared" si="124"/>
        <v>#N/A</v>
      </c>
      <c r="W152" s="293"/>
      <c r="X152" s="261" t="e">
        <f>VLOOKUP($A152,[1]Planilha!$A$18:$BK$553,50,FALSE)</f>
        <v>#N/A</v>
      </c>
      <c r="Y152" s="261" t="e">
        <f t="shared" si="125"/>
        <v>#N/A</v>
      </c>
      <c r="Z152" s="294"/>
      <c r="AA152" s="261" t="e">
        <f>VLOOKUP($A152,[1]Planilha!$A$18:$BK$553,58,FALSE)</f>
        <v>#N/A</v>
      </c>
      <c r="AB152" s="261" t="e">
        <f t="shared" si="126"/>
        <v>#N/A</v>
      </c>
      <c r="AC152" s="293"/>
      <c r="AD152" s="261" t="e">
        <f>VLOOKUP($A152,[1]Planilha!$A$18:$BK$553,49,FALSE)</f>
        <v>#N/A</v>
      </c>
      <c r="AE152" s="261" t="e">
        <f t="shared" si="127"/>
        <v>#N/A</v>
      </c>
      <c r="AF152" s="295"/>
      <c r="AG152" s="261" t="e">
        <f>VLOOKUP($A152,[1]Planilha!$A$18:$BK$553,57,FALSE)</f>
        <v>#N/A</v>
      </c>
      <c r="AH152" s="261" t="e">
        <f t="shared" si="128"/>
        <v>#N/A</v>
      </c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</row>
    <row r="153" spans="1:46">
      <c r="A153" s="229">
        <v>7891721276019</v>
      </c>
      <c r="B153" s="181">
        <v>1008903570034</v>
      </c>
      <c r="C153" s="123" t="s">
        <v>564</v>
      </c>
      <c r="D153" s="219" t="s">
        <v>559</v>
      </c>
      <c r="E153" s="292">
        <f>ROUND(K153*1.025,2)</f>
        <v>17.350000000000001</v>
      </c>
      <c r="F153" s="261">
        <f>VLOOKUP($A153,[1]Planilha!$A$18:$BK$553,54,FALSE)</f>
        <v>17.14</v>
      </c>
      <c r="G153" s="261">
        <f t="shared" si="119"/>
        <v>0.21000000000000085</v>
      </c>
      <c r="H153" s="292">
        <f>ROUND(E153/0.723358,2)</f>
        <v>23.99</v>
      </c>
      <c r="I153" s="261">
        <f>VLOOKUP($A153,[1]Planilha!$A$18:$BK$553,62,FALSE)</f>
        <v>23.99</v>
      </c>
      <c r="J153" s="261">
        <f t="shared" si="120"/>
        <v>0</v>
      </c>
      <c r="K153" s="292">
        <f>VLOOKUP(A153,[2]Plan1!$H$2:$J$279,3,FALSE)</f>
        <v>16.929021005604337</v>
      </c>
      <c r="L153" s="261">
        <f>VLOOKUP($A153,[1]Planilha!$A$18:$BK$553,52,FALSE)</f>
        <v>16.93</v>
      </c>
      <c r="M153" s="261">
        <f t="shared" si="121"/>
        <v>-9.7899439566262458E-4</v>
      </c>
      <c r="N153" s="292">
        <f t="shared" ref="N153:N155" si="136">ROUND(K153/0.723358,2)</f>
        <v>23.4</v>
      </c>
      <c r="O153" s="261">
        <f>VLOOKUP($A153,[1]Planilha!$A$18:$BK$553,60,FALSE)</f>
        <v>23.4</v>
      </c>
      <c r="P153" s="261">
        <f t="shared" si="122"/>
        <v>0</v>
      </c>
      <c r="Q153" s="292">
        <f t="shared" ref="Q153:Q155" si="137">ROUND(K153*0.993939,2)</f>
        <v>16.829999999999998</v>
      </c>
      <c r="R153" s="261">
        <f>VLOOKUP($A153,[1]Planilha!$A$18:$BK$553,51,FALSE)</f>
        <v>16.829999999999998</v>
      </c>
      <c r="S153" s="261">
        <f t="shared" si="123"/>
        <v>0</v>
      </c>
      <c r="T153" s="292">
        <f t="shared" ref="T153:T155" si="138">ROUND(Q153/0.723358,2)</f>
        <v>23.27</v>
      </c>
      <c r="U153" s="261">
        <f>VLOOKUP($A153,[1]Planilha!$A$18:$BK$553,59,FALSE)</f>
        <v>23.27</v>
      </c>
      <c r="V153" s="261">
        <f t="shared" si="124"/>
        <v>0</v>
      </c>
      <c r="W153" s="292">
        <f t="shared" ref="W153:W205" si="139">ROUND(K153*0.987952,2)</f>
        <v>16.73</v>
      </c>
      <c r="X153" s="261">
        <f>VLOOKUP($A153,[1]Planilha!$A$18:$BK$553,50,FALSE)</f>
        <v>16.73</v>
      </c>
      <c r="Y153" s="261">
        <f t="shared" si="125"/>
        <v>0</v>
      </c>
      <c r="Z153" s="292">
        <f t="shared" ref="Z153:Z205" si="140">ROUND(W153/0.723358,2)</f>
        <v>23.13</v>
      </c>
      <c r="AA153" s="261">
        <f>VLOOKUP($A153,[1]Planilha!$A$18:$BK$553,58,FALSE)</f>
        <v>23.13</v>
      </c>
      <c r="AB153" s="261">
        <f t="shared" si="126"/>
        <v>0</v>
      </c>
      <c r="AC153" s="292">
        <f t="shared" ref="AC153:AC205" si="141">ROUND(K153*0.931818,2)</f>
        <v>15.77</v>
      </c>
      <c r="AD153" s="261">
        <f>VLOOKUP($A153,[1]Planilha!$A$18:$BK$553,49,FALSE)</f>
        <v>15.77</v>
      </c>
      <c r="AE153" s="261">
        <f t="shared" si="127"/>
        <v>0</v>
      </c>
      <c r="AF153" s="332">
        <f t="shared" ref="AF153:AF205" si="142">ROUND(AC153/0.723358,2)</f>
        <v>21.8</v>
      </c>
      <c r="AG153" s="261">
        <f>VLOOKUP($A153,[1]Planilha!$A$18:$BK$553,57,FALSE)</f>
        <v>21.8</v>
      </c>
      <c r="AH153" s="261">
        <f t="shared" si="128"/>
        <v>0</v>
      </c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</row>
    <row r="154" spans="1:46">
      <c r="A154" s="685">
        <v>7891721276026</v>
      </c>
      <c r="B154" s="175">
        <v>1008903570026</v>
      </c>
      <c r="C154" s="121" t="s">
        <v>0</v>
      </c>
      <c r="D154" s="218" t="s">
        <v>560</v>
      </c>
      <c r="E154" s="284">
        <f>ROUND(K154*1.025,2)</f>
        <v>24.29</v>
      </c>
      <c r="F154" s="261">
        <f>VLOOKUP($A154,[1]Planilha!$A$18:$BK$553,54,FALSE)</f>
        <v>23.99</v>
      </c>
      <c r="G154" s="261">
        <f t="shared" si="119"/>
        <v>0.30000000000000071</v>
      </c>
      <c r="H154" s="284">
        <f>ROUND(E154/0.723358,2)</f>
        <v>33.58</v>
      </c>
      <c r="I154" s="261">
        <f>VLOOKUP($A154,[1]Planilha!$A$18:$BK$553,62,FALSE)</f>
        <v>33.58</v>
      </c>
      <c r="J154" s="261">
        <f t="shared" si="120"/>
        <v>0</v>
      </c>
      <c r="K154" s="292">
        <f>VLOOKUP(A154,[2]Plan1!$H$2:$J$279,3,FALSE)</f>
        <v>23.696439056112013</v>
      </c>
      <c r="L154" s="261">
        <f>VLOOKUP($A154,[1]Planilha!$A$18:$BK$553,52,FALSE)</f>
        <v>23.7</v>
      </c>
      <c r="M154" s="261">
        <f t="shared" si="121"/>
        <v>-3.5609438879866673E-3</v>
      </c>
      <c r="N154" s="284">
        <f t="shared" si="136"/>
        <v>32.76</v>
      </c>
      <c r="O154" s="261">
        <f>VLOOKUP($A154,[1]Planilha!$A$18:$BK$553,60,FALSE)</f>
        <v>32.76</v>
      </c>
      <c r="P154" s="261">
        <f t="shared" si="122"/>
        <v>0</v>
      </c>
      <c r="Q154" s="284">
        <f t="shared" si="137"/>
        <v>23.55</v>
      </c>
      <c r="R154" s="261">
        <f>VLOOKUP($A154,[1]Planilha!$A$18:$BK$553,51,FALSE)</f>
        <v>23.55</v>
      </c>
      <c r="S154" s="261">
        <f t="shared" si="123"/>
        <v>0</v>
      </c>
      <c r="T154" s="284">
        <f t="shared" si="138"/>
        <v>32.56</v>
      </c>
      <c r="U154" s="261">
        <f>VLOOKUP($A154,[1]Planilha!$A$18:$BK$553,59,FALSE)</f>
        <v>32.56</v>
      </c>
      <c r="V154" s="261">
        <f t="shared" si="124"/>
        <v>0</v>
      </c>
      <c r="W154" s="284">
        <f t="shared" si="139"/>
        <v>23.41</v>
      </c>
      <c r="X154" s="261">
        <f>VLOOKUP($A154,[1]Planilha!$A$18:$BK$553,50,FALSE)</f>
        <v>23.41</v>
      </c>
      <c r="Y154" s="261">
        <f t="shared" si="125"/>
        <v>0</v>
      </c>
      <c r="Z154" s="284">
        <f t="shared" si="140"/>
        <v>32.36</v>
      </c>
      <c r="AA154" s="261">
        <f>VLOOKUP($A154,[1]Planilha!$A$18:$BK$553,58,FALSE)</f>
        <v>32.36</v>
      </c>
      <c r="AB154" s="261">
        <f t="shared" si="126"/>
        <v>0</v>
      </c>
      <c r="AC154" s="284">
        <f t="shared" si="141"/>
        <v>22.08</v>
      </c>
      <c r="AD154" s="261">
        <f>VLOOKUP($A154,[1]Planilha!$A$18:$BK$553,49,FALSE)</f>
        <v>22.08</v>
      </c>
      <c r="AE154" s="261">
        <f t="shared" si="127"/>
        <v>0</v>
      </c>
      <c r="AF154" s="285">
        <f t="shared" si="142"/>
        <v>30.52</v>
      </c>
      <c r="AG154" s="261">
        <f>VLOOKUP($A154,[1]Planilha!$A$18:$BK$553,57,FALSE)</f>
        <v>30.52</v>
      </c>
      <c r="AH154" s="261">
        <f t="shared" si="128"/>
        <v>0</v>
      </c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</row>
    <row r="155" spans="1:46">
      <c r="A155" s="229">
        <v>7891721022777</v>
      </c>
      <c r="B155" s="210">
        <v>1008903570018</v>
      </c>
      <c r="C155" s="122" t="s">
        <v>1</v>
      </c>
      <c r="D155" s="221" t="s">
        <v>561</v>
      </c>
      <c r="E155" s="289">
        <f>ROUND(K155*1.025,2)</f>
        <v>35.97</v>
      </c>
      <c r="F155" s="261">
        <f>VLOOKUP($A155,[1]Planilha!$A$18:$BK$553,54,FALSE)</f>
        <v>35.53</v>
      </c>
      <c r="G155" s="261">
        <f t="shared" si="119"/>
        <v>0.43999999999999773</v>
      </c>
      <c r="H155" s="289">
        <f>ROUND(E155/0.723358,2)</f>
        <v>49.73</v>
      </c>
      <c r="I155" s="261">
        <f>VLOOKUP($A155,[1]Planilha!$A$18:$BK$553,62,FALSE)</f>
        <v>49.73</v>
      </c>
      <c r="J155" s="261">
        <f t="shared" si="120"/>
        <v>0</v>
      </c>
      <c r="K155" s="292">
        <f>VLOOKUP(A155,[2]Plan1!$H$2:$J$279,3,FALSE)</f>
        <v>35.094195772756514</v>
      </c>
      <c r="L155" s="261">
        <f>VLOOKUP($A155,[1]Planilha!$A$18:$BK$553,52,FALSE)</f>
        <v>35.090000000000003</v>
      </c>
      <c r="M155" s="261">
        <f t="shared" si="121"/>
        <v>4.1957727565105074E-3</v>
      </c>
      <c r="N155" s="289">
        <f t="shared" si="136"/>
        <v>48.52</v>
      </c>
      <c r="O155" s="261">
        <f>VLOOKUP($A155,[1]Planilha!$A$18:$BK$553,60,FALSE)</f>
        <v>48.52</v>
      </c>
      <c r="P155" s="261">
        <f t="shared" si="122"/>
        <v>0</v>
      </c>
      <c r="Q155" s="289">
        <f t="shared" si="137"/>
        <v>34.880000000000003</v>
      </c>
      <c r="R155" s="261">
        <f>VLOOKUP($A155,[1]Planilha!$A$18:$BK$553,51,FALSE)</f>
        <v>34.880000000000003</v>
      </c>
      <c r="S155" s="261">
        <f t="shared" si="123"/>
        <v>0</v>
      </c>
      <c r="T155" s="289">
        <f t="shared" si="138"/>
        <v>48.22</v>
      </c>
      <c r="U155" s="261">
        <f>VLOOKUP($A155,[1]Planilha!$A$18:$BK$553,59,FALSE)</f>
        <v>48.22</v>
      </c>
      <c r="V155" s="261">
        <f t="shared" si="124"/>
        <v>0</v>
      </c>
      <c r="W155" s="289">
        <f t="shared" si="139"/>
        <v>34.67</v>
      </c>
      <c r="X155" s="261">
        <f>VLOOKUP($A155,[1]Planilha!$A$18:$BK$553,50,FALSE)</f>
        <v>34.67</v>
      </c>
      <c r="Y155" s="261">
        <f t="shared" si="125"/>
        <v>0</v>
      </c>
      <c r="Z155" s="289">
        <f t="shared" si="140"/>
        <v>47.93</v>
      </c>
      <c r="AA155" s="261">
        <f>VLOOKUP($A155,[1]Planilha!$A$18:$BK$553,58,FALSE)</f>
        <v>47.93</v>
      </c>
      <c r="AB155" s="261">
        <f t="shared" si="126"/>
        <v>0</v>
      </c>
      <c r="AC155" s="289">
        <f t="shared" si="141"/>
        <v>32.700000000000003</v>
      </c>
      <c r="AD155" s="261">
        <f>VLOOKUP($A155,[1]Planilha!$A$18:$BK$553,49,FALSE)</f>
        <v>32.700000000000003</v>
      </c>
      <c r="AE155" s="261">
        <f t="shared" si="127"/>
        <v>0</v>
      </c>
      <c r="AF155" s="290">
        <f t="shared" si="142"/>
        <v>45.21</v>
      </c>
      <c r="AG155" s="261">
        <f>VLOOKUP($A155,[1]Planilha!$A$18:$BK$553,57,FALSE)</f>
        <v>45.21</v>
      </c>
      <c r="AH155" s="261">
        <f t="shared" si="128"/>
        <v>0</v>
      </c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</row>
    <row r="156" spans="1:46" ht="15">
      <c r="A156" s="684"/>
      <c r="B156" s="137" t="s">
        <v>326</v>
      </c>
      <c r="C156" s="137"/>
      <c r="D156" s="180"/>
      <c r="E156" s="293"/>
      <c r="F156" s="261" t="e">
        <f>VLOOKUP($A156,[1]Planilha!$A$18:$BK$553,54,FALSE)</f>
        <v>#N/A</v>
      </c>
      <c r="G156" s="261" t="e">
        <f t="shared" si="119"/>
        <v>#N/A</v>
      </c>
      <c r="H156" s="294"/>
      <c r="I156" s="261" t="e">
        <f>VLOOKUP($A156,[1]Planilha!$A$18:$BK$553,62,FALSE)</f>
        <v>#N/A</v>
      </c>
      <c r="J156" s="261" t="e">
        <f t="shared" si="120"/>
        <v>#N/A</v>
      </c>
      <c r="K156" s="293"/>
      <c r="L156" s="261" t="e">
        <f>VLOOKUP($A156,[1]Planilha!$A$18:$BK$553,52,FALSE)</f>
        <v>#N/A</v>
      </c>
      <c r="M156" s="261" t="e">
        <f t="shared" si="121"/>
        <v>#N/A</v>
      </c>
      <c r="N156" s="294"/>
      <c r="O156" s="261" t="e">
        <f>VLOOKUP($A156,[1]Planilha!$A$18:$BK$553,60,FALSE)</f>
        <v>#N/A</v>
      </c>
      <c r="P156" s="261" t="e">
        <f t="shared" si="122"/>
        <v>#N/A</v>
      </c>
      <c r="Q156" s="293"/>
      <c r="R156" s="261" t="e">
        <f>VLOOKUP($A156,[1]Planilha!$A$18:$BK$553,51,FALSE)</f>
        <v>#N/A</v>
      </c>
      <c r="S156" s="261" t="e">
        <f t="shared" si="123"/>
        <v>#N/A</v>
      </c>
      <c r="T156" s="294"/>
      <c r="U156" s="261" t="e">
        <f>VLOOKUP($A156,[1]Planilha!$A$18:$BK$553,59,FALSE)</f>
        <v>#N/A</v>
      </c>
      <c r="V156" s="261" t="e">
        <f t="shared" si="124"/>
        <v>#N/A</v>
      </c>
      <c r="W156" s="293"/>
      <c r="X156" s="261" t="e">
        <f>VLOOKUP($A156,[1]Planilha!$A$18:$BK$553,50,FALSE)</f>
        <v>#N/A</v>
      </c>
      <c r="Y156" s="261" t="e">
        <f t="shared" si="125"/>
        <v>#N/A</v>
      </c>
      <c r="Z156" s="294"/>
      <c r="AA156" s="261" t="e">
        <f>VLOOKUP($A156,[1]Planilha!$A$18:$BK$553,58,FALSE)</f>
        <v>#N/A</v>
      </c>
      <c r="AB156" s="261" t="e">
        <f t="shared" si="126"/>
        <v>#N/A</v>
      </c>
      <c r="AC156" s="293"/>
      <c r="AD156" s="261" t="e">
        <f>VLOOKUP($A156,[1]Planilha!$A$18:$BK$553,49,FALSE)</f>
        <v>#N/A</v>
      </c>
      <c r="AE156" s="261" t="e">
        <f t="shared" si="127"/>
        <v>#N/A</v>
      </c>
      <c r="AF156" s="295"/>
      <c r="AG156" s="261" t="e">
        <f>VLOOKUP($A156,[1]Planilha!$A$18:$BK$553,57,FALSE)</f>
        <v>#N/A</v>
      </c>
      <c r="AH156" s="261" t="e">
        <f t="shared" si="128"/>
        <v>#N/A</v>
      </c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</row>
    <row r="157" spans="1:46">
      <c r="A157" s="229">
        <v>7891721277429</v>
      </c>
      <c r="B157" s="181" t="s">
        <v>30</v>
      </c>
      <c r="C157" s="123" t="s">
        <v>500</v>
      </c>
      <c r="D157" s="219" t="s">
        <v>641</v>
      </c>
      <c r="E157" s="292">
        <f>K157</f>
        <v>43.642513310239892</v>
      </c>
      <c r="F157" s="261">
        <f>VLOOKUP($A157,[1]Planilha!$A$18:$BK$553,54,FALSE)</f>
        <v>44.18</v>
      </c>
      <c r="G157" s="261">
        <f t="shared" si="119"/>
        <v>-0.53748668976010805</v>
      </c>
      <c r="H157" s="292">
        <f>N157</f>
        <v>60.33</v>
      </c>
      <c r="I157" s="261">
        <f>VLOOKUP($A157,[1]Planilha!$A$18:$BK$553,62,FALSE)</f>
        <v>61.84</v>
      </c>
      <c r="J157" s="261">
        <f t="shared" si="120"/>
        <v>-1.5100000000000051</v>
      </c>
      <c r="K157" s="292">
        <f>VLOOKUP(A157,[2]Plan1!$H$2:$J$279,3,FALSE)</f>
        <v>43.642513310239892</v>
      </c>
      <c r="L157" s="261">
        <f>VLOOKUP($A157,[1]Planilha!$A$18:$BK$553,52,FALSE)</f>
        <v>43.64</v>
      </c>
      <c r="M157" s="261">
        <f t="shared" si="121"/>
        <v>2.5133102398910978E-3</v>
      </c>
      <c r="N157" s="292">
        <f t="shared" ref="N157:N158" si="143">ROUND(K157/0.723358,2)</f>
        <v>60.33</v>
      </c>
      <c r="O157" s="261">
        <f>VLOOKUP($A157,[1]Planilha!$A$18:$BK$553,60,FALSE)</f>
        <v>60.33</v>
      </c>
      <c r="P157" s="261">
        <f t="shared" si="122"/>
        <v>0</v>
      </c>
      <c r="Q157" s="292">
        <f t="shared" ref="Q157:Q159" si="144">ROUND(K157*0.993939,2)</f>
        <v>43.38</v>
      </c>
      <c r="R157" s="261">
        <f>VLOOKUP($A157,[1]Planilha!$A$18:$BK$553,51,FALSE)</f>
        <v>43.38</v>
      </c>
      <c r="S157" s="261">
        <f t="shared" si="123"/>
        <v>0</v>
      </c>
      <c r="T157" s="292">
        <f t="shared" ref="T157:T159" si="145">ROUND(Q157/0.723358,2)</f>
        <v>59.97</v>
      </c>
      <c r="U157" s="261">
        <f>VLOOKUP($A157,[1]Planilha!$A$18:$BK$553,59,FALSE)</f>
        <v>59.97</v>
      </c>
      <c r="V157" s="261">
        <f t="shared" si="124"/>
        <v>0</v>
      </c>
      <c r="W157" s="292">
        <f t="shared" ref="W157:W159" si="146">ROUND(K157*0.987952,2)</f>
        <v>43.12</v>
      </c>
      <c r="X157" s="261">
        <f>VLOOKUP($A157,[1]Planilha!$A$18:$BK$553,50,FALSE)</f>
        <v>43.12</v>
      </c>
      <c r="Y157" s="261">
        <f t="shared" si="125"/>
        <v>0</v>
      </c>
      <c r="Z157" s="292">
        <f t="shared" ref="Z157:Z159" si="147">ROUND(W157/0.723358,2)</f>
        <v>59.61</v>
      </c>
      <c r="AA157" s="261">
        <f>VLOOKUP($A157,[1]Planilha!$A$18:$BK$553,58,FALSE)</f>
        <v>59.61</v>
      </c>
      <c r="AB157" s="261">
        <f t="shared" si="126"/>
        <v>0</v>
      </c>
      <c r="AC157" s="292">
        <f>ROUND(K157*0.931818,2)</f>
        <v>40.67</v>
      </c>
      <c r="AD157" s="261">
        <f>VLOOKUP($A157,[1]Planilha!$A$18:$BK$553,49,FALSE)</f>
        <v>40.67</v>
      </c>
      <c r="AE157" s="261">
        <f t="shared" si="127"/>
        <v>0</v>
      </c>
      <c r="AF157" s="332">
        <f t="shared" ref="AF157:AF159" si="148">ROUND(AC157/0.723358,2)</f>
        <v>56.22</v>
      </c>
      <c r="AG157" s="261">
        <f>VLOOKUP($A157,[1]Planilha!$A$18:$BK$553,57,FALSE)</f>
        <v>56.22</v>
      </c>
      <c r="AH157" s="261">
        <f t="shared" si="128"/>
        <v>0</v>
      </c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</row>
    <row r="158" spans="1:46">
      <c r="A158" s="685">
        <v>7891721277436</v>
      </c>
      <c r="B158" s="175" t="s">
        <v>29</v>
      </c>
      <c r="C158" s="121" t="s">
        <v>403</v>
      </c>
      <c r="D158" s="218" t="s">
        <v>629</v>
      </c>
      <c r="E158" s="284">
        <f>K158</f>
        <v>21.821256655119946</v>
      </c>
      <c r="F158" s="261">
        <f>VLOOKUP($A158,[1]Planilha!$A$18:$BK$553,54,FALSE)</f>
        <v>22.09</v>
      </c>
      <c r="G158" s="261">
        <f t="shared" si="119"/>
        <v>-0.26874334488005402</v>
      </c>
      <c r="H158" s="284">
        <f t="shared" ref="H158:H159" si="149">N158</f>
        <v>30.17</v>
      </c>
      <c r="I158" s="261">
        <f>VLOOKUP($A158,[1]Planilha!$A$18:$BK$553,62,FALSE)</f>
        <v>30.93</v>
      </c>
      <c r="J158" s="261">
        <f t="shared" si="120"/>
        <v>-0.75999999999999801</v>
      </c>
      <c r="K158" s="292">
        <f>VLOOKUP(A158,[2]Plan1!$H$2:$J$279,3,FALSE)</f>
        <v>21.821256655119946</v>
      </c>
      <c r="L158" s="261">
        <f>VLOOKUP($A158,[1]Planilha!$A$18:$BK$553,52,FALSE)</f>
        <v>21.82</v>
      </c>
      <c r="M158" s="261">
        <f t="shared" si="121"/>
        <v>1.2566551199455489E-3</v>
      </c>
      <c r="N158" s="284">
        <f t="shared" si="143"/>
        <v>30.17</v>
      </c>
      <c r="O158" s="261">
        <f>VLOOKUP($A158,[1]Planilha!$A$18:$BK$553,60,FALSE)</f>
        <v>30.17</v>
      </c>
      <c r="P158" s="261">
        <f t="shared" si="122"/>
        <v>0</v>
      </c>
      <c r="Q158" s="284">
        <f t="shared" si="144"/>
        <v>21.69</v>
      </c>
      <c r="R158" s="261">
        <f>VLOOKUP($A158,[1]Planilha!$A$18:$BK$553,51,FALSE)</f>
        <v>21.69</v>
      </c>
      <c r="S158" s="261">
        <f t="shared" si="123"/>
        <v>0</v>
      </c>
      <c r="T158" s="284">
        <f t="shared" si="145"/>
        <v>29.99</v>
      </c>
      <c r="U158" s="261">
        <f>VLOOKUP($A158,[1]Planilha!$A$18:$BK$553,59,FALSE)</f>
        <v>29.99</v>
      </c>
      <c r="V158" s="261">
        <f t="shared" si="124"/>
        <v>0</v>
      </c>
      <c r="W158" s="284">
        <f t="shared" si="146"/>
        <v>21.56</v>
      </c>
      <c r="X158" s="261">
        <f>VLOOKUP($A158,[1]Planilha!$A$18:$BK$553,50,FALSE)</f>
        <v>21.56</v>
      </c>
      <c r="Y158" s="261">
        <f t="shared" si="125"/>
        <v>0</v>
      </c>
      <c r="Z158" s="284">
        <f t="shared" si="147"/>
        <v>29.81</v>
      </c>
      <c r="AA158" s="261">
        <f>VLOOKUP($A158,[1]Planilha!$A$18:$BK$553,58,FALSE)</f>
        <v>29.81</v>
      </c>
      <c r="AB158" s="261">
        <f t="shared" si="126"/>
        <v>0</v>
      </c>
      <c r="AC158" s="284">
        <f t="shared" ref="AC158:AC159" si="150">ROUND(K158*0.931818,2)</f>
        <v>20.329999999999998</v>
      </c>
      <c r="AD158" s="261">
        <f>VLOOKUP($A158,[1]Planilha!$A$18:$BK$553,49,FALSE)</f>
        <v>20.329999999999998</v>
      </c>
      <c r="AE158" s="261">
        <f t="shared" si="127"/>
        <v>0</v>
      </c>
      <c r="AF158" s="285">
        <f t="shared" si="148"/>
        <v>28.11</v>
      </c>
      <c r="AG158" s="261">
        <f>VLOOKUP($A158,[1]Planilha!$A$18:$BK$553,57,FALSE)</f>
        <v>28.11</v>
      </c>
      <c r="AH158" s="261">
        <f t="shared" si="128"/>
        <v>0</v>
      </c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</row>
    <row r="159" spans="1:46">
      <c r="A159" s="229">
        <v>7891721277450</v>
      </c>
      <c r="B159" s="210" t="s">
        <v>28</v>
      </c>
      <c r="C159" s="122" t="s">
        <v>501</v>
      </c>
      <c r="D159" s="221" t="s">
        <v>628</v>
      </c>
      <c r="E159" s="289">
        <f>K159</f>
        <v>34.821822910042592</v>
      </c>
      <c r="F159" s="261">
        <f>VLOOKUP($A159,[1]Planilha!$A$18:$BK$553,54,FALSE)</f>
        <v>35.25</v>
      </c>
      <c r="G159" s="261">
        <f t="shared" si="119"/>
        <v>-0.42817708995740844</v>
      </c>
      <c r="H159" s="289">
        <f t="shared" si="149"/>
        <v>48.14</v>
      </c>
      <c r="I159" s="261">
        <f>VLOOKUP($A159,[1]Planilha!$A$18:$BK$553,62,FALSE)</f>
        <v>49.34</v>
      </c>
      <c r="J159" s="261">
        <f t="shared" si="120"/>
        <v>-1.2000000000000028</v>
      </c>
      <c r="K159" s="292">
        <f>VLOOKUP(A159,[2]Plan1!$H$2:$J$279,3,FALSE)</f>
        <v>34.821822910042592</v>
      </c>
      <c r="L159" s="261">
        <f>VLOOKUP($A159,[1]Planilha!$A$18:$BK$553,52,FALSE)</f>
        <v>34.82</v>
      </c>
      <c r="M159" s="261">
        <f t="shared" si="121"/>
        <v>1.8229100425912748E-3</v>
      </c>
      <c r="N159" s="289">
        <f>ROUND(K159/0.723358,2)</f>
        <v>48.14</v>
      </c>
      <c r="O159" s="261">
        <f>VLOOKUP($A159,[1]Planilha!$A$18:$BK$553,60,FALSE)</f>
        <v>48.14</v>
      </c>
      <c r="P159" s="261">
        <f t="shared" si="122"/>
        <v>0</v>
      </c>
      <c r="Q159" s="289">
        <f t="shared" si="144"/>
        <v>34.61</v>
      </c>
      <c r="R159" s="261">
        <f>VLOOKUP($A159,[1]Planilha!$A$18:$BK$553,51,FALSE)</f>
        <v>34.61</v>
      </c>
      <c r="S159" s="261">
        <f t="shared" si="123"/>
        <v>0</v>
      </c>
      <c r="T159" s="289">
        <f t="shared" si="145"/>
        <v>47.85</v>
      </c>
      <c r="U159" s="261">
        <f>VLOOKUP($A159,[1]Planilha!$A$18:$BK$553,59,FALSE)</f>
        <v>47.85</v>
      </c>
      <c r="V159" s="261">
        <f t="shared" si="124"/>
        <v>0</v>
      </c>
      <c r="W159" s="289">
        <f t="shared" si="146"/>
        <v>34.4</v>
      </c>
      <c r="X159" s="261">
        <f>VLOOKUP($A159,[1]Planilha!$A$18:$BK$553,50,FALSE)</f>
        <v>34.4</v>
      </c>
      <c r="Y159" s="261">
        <f t="shared" si="125"/>
        <v>0</v>
      </c>
      <c r="Z159" s="289">
        <f t="shared" si="147"/>
        <v>47.56</v>
      </c>
      <c r="AA159" s="261">
        <f>VLOOKUP($A159,[1]Planilha!$A$18:$BK$553,58,FALSE)</f>
        <v>47.56</v>
      </c>
      <c r="AB159" s="261">
        <f t="shared" si="126"/>
        <v>0</v>
      </c>
      <c r="AC159" s="289">
        <f t="shared" si="150"/>
        <v>32.450000000000003</v>
      </c>
      <c r="AD159" s="261">
        <f>VLOOKUP($A159,[1]Planilha!$A$18:$BK$553,49,FALSE)</f>
        <v>32.450000000000003</v>
      </c>
      <c r="AE159" s="261">
        <f t="shared" si="127"/>
        <v>0</v>
      </c>
      <c r="AF159" s="290">
        <f t="shared" si="148"/>
        <v>44.86</v>
      </c>
      <c r="AG159" s="261">
        <f>VLOOKUP($A159,[1]Planilha!$A$18:$BK$553,57,FALSE)</f>
        <v>44.86</v>
      </c>
      <c r="AH159" s="261">
        <f t="shared" si="128"/>
        <v>0</v>
      </c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</row>
    <row r="160" spans="1:46" ht="15">
      <c r="A160" s="684"/>
      <c r="B160" s="137" t="s">
        <v>327</v>
      </c>
      <c r="C160" s="137"/>
      <c r="D160" s="180"/>
      <c r="E160" s="297"/>
      <c r="F160" s="261" t="e">
        <f>VLOOKUP($A160,[1]Planilha!$A$18:$BK$553,54,FALSE)</f>
        <v>#N/A</v>
      </c>
      <c r="G160" s="261" t="e">
        <f t="shared" si="119"/>
        <v>#N/A</v>
      </c>
      <c r="H160" s="298"/>
      <c r="I160" s="261" t="e">
        <f>VLOOKUP($A160,[1]Planilha!$A$18:$BK$553,62,FALSE)</f>
        <v>#N/A</v>
      </c>
      <c r="J160" s="261" t="e">
        <f t="shared" si="120"/>
        <v>#N/A</v>
      </c>
      <c r="K160" s="297"/>
      <c r="L160" s="261" t="e">
        <f>VLOOKUP($A160,[1]Planilha!$A$18:$BK$553,52,FALSE)</f>
        <v>#N/A</v>
      </c>
      <c r="M160" s="261" t="e">
        <f t="shared" si="121"/>
        <v>#N/A</v>
      </c>
      <c r="N160" s="298"/>
      <c r="O160" s="261" t="e">
        <f>VLOOKUP($A160,[1]Planilha!$A$18:$BK$553,60,FALSE)</f>
        <v>#N/A</v>
      </c>
      <c r="P160" s="261" t="e">
        <f t="shared" si="122"/>
        <v>#N/A</v>
      </c>
      <c r="Q160" s="297"/>
      <c r="R160" s="261" t="e">
        <f>VLOOKUP($A160,[1]Planilha!$A$18:$BK$553,51,FALSE)</f>
        <v>#N/A</v>
      </c>
      <c r="S160" s="261" t="e">
        <f t="shared" si="123"/>
        <v>#N/A</v>
      </c>
      <c r="T160" s="298"/>
      <c r="U160" s="261" t="e">
        <f>VLOOKUP($A160,[1]Planilha!$A$18:$BK$553,59,FALSE)</f>
        <v>#N/A</v>
      </c>
      <c r="V160" s="261" t="e">
        <f t="shared" si="124"/>
        <v>#N/A</v>
      </c>
      <c r="W160" s="297"/>
      <c r="X160" s="261" t="e">
        <f>VLOOKUP($A160,[1]Planilha!$A$18:$BK$553,50,FALSE)</f>
        <v>#N/A</v>
      </c>
      <c r="Y160" s="261" t="e">
        <f t="shared" si="125"/>
        <v>#N/A</v>
      </c>
      <c r="Z160" s="298"/>
      <c r="AA160" s="261" t="e">
        <f>VLOOKUP($A160,[1]Planilha!$A$18:$BK$553,58,FALSE)</f>
        <v>#N/A</v>
      </c>
      <c r="AB160" s="261" t="e">
        <f t="shared" si="126"/>
        <v>#N/A</v>
      </c>
      <c r="AC160" s="297"/>
      <c r="AD160" s="261" t="e">
        <f>VLOOKUP($A160,[1]Planilha!$A$18:$BK$553,49,FALSE)</f>
        <v>#N/A</v>
      </c>
      <c r="AE160" s="261" t="e">
        <f t="shared" si="127"/>
        <v>#N/A</v>
      </c>
      <c r="AF160" s="299"/>
      <c r="AG160" s="261" t="e">
        <f>VLOOKUP($A160,[1]Planilha!$A$18:$BK$553,57,FALSE)</f>
        <v>#N/A</v>
      </c>
      <c r="AH160" s="261" t="e">
        <f t="shared" si="128"/>
        <v>#N/A</v>
      </c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</row>
    <row r="161" spans="1:46">
      <c r="A161" s="229">
        <v>7891721013034</v>
      </c>
      <c r="B161" s="175" t="s">
        <v>76</v>
      </c>
      <c r="C161" s="123" t="s">
        <v>404</v>
      </c>
      <c r="D161" s="217" t="s">
        <v>328</v>
      </c>
      <c r="E161" s="282">
        <f>ROUND(K161*1.025,2)</f>
        <v>8.0399999999999991</v>
      </c>
      <c r="F161" s="261">
        <f>VLOOKUP($A161,[1]Planilha!$A$18:$BK$553,54,FALSE)</f>
        <v>7.94</v>
      </c>
      <c r="G161" s="261">
        <f t="shared" si="119"/>
        <v>9.9999999999998757E-2</v>
      </c>
      <c r="H161" s="282">
        <f>ROUND(E161/0.723358,2)</f>
        <v>11.11</v>
      </c>
      <c r="I161" s="261">
        <f>VLOOKUP($A161,[1]Planilha!$A$18:$BK$553,62,FALSE)</f>
        <v>11.11</v>
      </c>
      <c r="J161" s="261">
        <f t="shared" si="120"/>
        <v>0</v>
      </c>
      <c r="K161" s="282">
        <f>VLOOKUP(A161,[2]Plan1!$H$2:$J$279,3,FALSE)</f>
        <v>7.8464336220282487</v>
      </c>
      <c r="L161" s="261">
        <f>VLOOKUP($A161,[1]Planilha!$A$18:$BK$553,52,FALSE)</f>
        <v>7.85</v>
      </c>
      <c r="M161" s="261">
        <f t="shared" si="121"/>
        <v>-3.5663779717509669E-3</v>
      </c>
      <c r="N161" s="282">
        <f t="shared" ref="N161:N162" si="151">ROUND(K161/0.723358,2)</f>
        <v>10.85</v>
      </c>
      <c r="O161" s="261">
        <f>VLOOKUP($A161,[1]Planilha!$A$18:$BK$553,60,FALSE)</f>
        <v>10.85</v>
      </c>
      <c r="P161" s="261">
        <f t="shared" si="122"/>
        <v>0</v>
      </c>
      <c r="Q161" s="282">
        <f t="shared" ref="Q161:Q162" si="152">ROUND(K161*0.993939,2)</f>
        <v>7.8</v>
      </c>
      <c r="R161" s="261">
        <f>VLOOKUP($A161,[1]Planilha!$A$18:$BK$553,51,FALSE)</f>
        <v>7.8</v>
      </c>
      <c r="S161" s="261">
        <f t="shared" si="123"/>
        <v>0</v>
      </c>
      <c r="T161" s="282">
        <f t="shared" ref="T161:T162" si="153">ROUND(Q161/0.723358,2)</f>
        <v>10.78</v>
      </c>
      <c r="U161" s="261">
        <f>VLOOKUP($A161,[1]Planilha!$A$18:$BK$553,59,FALSE)</f>
        <v>10.78</v>
      </c>
      <c r="V161" s="261">
        <f t="shared" si="124"/>
        <v>0</v>
      </c>
      <c r="W161" s="282">
        <f t="shared" si="139"/>
        <v>7.75</v>
      </c>
      <c r="X161" s="261">
        <f>VLOOKUP($A161,[1]Planilha!$A$18:$BK$553,50,FALSE)</f>
        <v>7.75</v>
      </c>
      <c r="Y161" s="261">
        <f t="shared" si="125"/>
        <v>0</v>
      </c>
      <c r="Z161" s="282">
        <f t="shared" si="140"/>
        <v>10.71</v>
      </c>
      <c r="AA161" s="261">
        <f>VLOOKUP($A161,[1]Planilha!$A$18:$BK$553,58,FALSE)</f>
        <v>10.71</v>
      </c>
      <c r="AB161" s="261">
        <f t="shared" si="126"/>
        <v>0</v>
      </c>
      <c r="AC161" s="282">
        <f t="shared" si="141"/>
        <v>7.31</v>
      </c>
      <c r="AD161" s="261">
        <f>VLOOKUP($A161,[1]Planilha!$A$18:$BK$553,49,FALSE)</f>
        <v>7.31</v>
      </c>
      <c r="AE161" s="261">
        <f t="shared" si="127"/>
        <v>0</v>
      </c>
      <c r="AF161" s="283">
        <f t="shared" si="142"/>
        <v>10.11</v>
      </c>
      <c r="AG161" s="261">
        <f>VLOOKUP($A161,[1]Planilha!$A$18:$BK$553,57,FALSE)</f>
        <v>10.11</v>
      </c>
      <c r="AH161" s="261">
        <f t="shared" si="128"/>
        <v>0</v>
      </c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</row>
    <row r="162" spans="1:46">
      <c r="A162" s="229">
        <v>7891721013096</v>
      </c>
      <c r="B162" s="210" t="s">
        <v>77</v>
      </c>
      <c r="C162" s="122" t="s">
        <v>502</v>
      </c>
      <c r="D162" s="221" t="s">
        <v>329</v>
      </c>
      <c r="E162" s="289">
        <f>ROUND(K162*1.025,2)</f>
        <v>12.39</v>
      </c>
      <c r="F162" s="261">
        <f>VLOOKUP($A162,[1]Planilha!$A$18:$BK$553,54,FALSE)</f>
        <v>12.24</v>
      </c>
      <c r="G162" s="261">
        <f t="shared" si="119"/>
        <v>0.15000000000000036</v>
      </c>
      <c r="H162" s="289">
        <f>ROUND(E162/0.723358,2)</f>
        <v>17.13</v>
      </c>
      <c r="I162" s="261">
        <f>VLOOKUP($A162,[1]Planilha!$A$18:$BK$553,62,FALSE)</f>
        <v>17.13</v>
      </c>
      <c r="J162" s="261">
        <f t="shared" si="120"/>
        <v>0</v>
      </c>
      <c r="K162" s="282">
        <f>VLOOKUP(A162,[2]Plan1!$H$2:$J$279,3,FALSE)</f>
        <v>12.089164752764482</v>
      </c>
      <c r="L162" s="261">
        <f>VLOOKUP($A162,[1]Planilha!$A$18:$BK$553,52,FALSE)</f>
        <v>12.09</v>
      </c>
      <c r="M162" s="261">
        <f t="shared" si="121"/>
        <v>-8.3524723551775537E-4</v>
      </c>
      <c r="N162" s="289">
        <f t="shared" si="151"/>
        <v>16.71</v>
      </c>
      <c r="O162" s="261">
        <f>VLOOKUP($A162,[1]Planilha!$A$18:$BK$553,60,FALSE)</f>
        <v>16.71</v>
      </c>
      <c r="P162" s="261">
        <f t="shared" si="122"/>
        <v>0</v>
      </c>
      <c r="Q162" s="289">
        <f t="shared" si="152"/>
        <v>12.02</v>
      </c>
      <c r="R162" s="261">
        <f>VLOOKUP($A162,[1]Planilha!$A$18:$BK$553,51,FALSE)</f>
        <v>12.02</v>
      </c>
      <c r="S162" s="261">
        <f t="shared" si="123"/>
        <v>0</v>
      </c>
      <c r="T162" s="289">
        <f t="shared" si="153"/>
        <v>16.62</v>
      </c>
      <c r="U162" s="261">
        <f>VLOOKUP($A162,[1]Planilha!$A$18:$BK$553,59,FALSE)</f>
        <v>16.62</v>
      </c>
      <c r="V162" s="261">
        <f t="shared" si="124"/>
        <v>0</v>
      </c>
      <c r="W162" s="289">
        <f t="shared" si="139"/>
        <v>11.94</v>
      </c>
      <c r="X162" s="261">
        <f>VLOOKUP($A162,[1]Planilha!$A$18:$BK$553,50,FALSE)</f>
        <v>11.94</v>
      </c>
      <c r="Y162" s="261">
        <f t="shared" si="125"/>
        <v>0</v>
      </c>
      <c r="Z162" s="289">
        <f t="shared" si="140"/>
        <v>16.510000000000002</v>
      </c>
      <c r="AA162" s="261">
        <f>VLOOKUP($A162,[1]Planilha!$A$18:$BK$553,58,FALSE)</f>
        <v>16.510000000000002</v>
      </c>
      <c r="AB162" s="261">
        <f t="shared" si="126"/>
        <v>0</v>
      </c>
      <c r="AC162" s="289">
        <f t="shared" si="141"/>
        <v>11.26</v>
      </c>
      <c r="AD162" s="261">
        <f>VLOOKUP($A162,[1]Planilha!$A$18:$BK$553,49,FALSE)</f>
        <v>11.26</v>
      </c>
      <c r="AE162" s="261">
        <f t="shared" si="127"/>
        <v>0</v>
      </c>
      <c r="AF162" s="290">
        <f t="shared" si="142"/>
        <v>15.57</v>
      </c>
      <c r="AG162" s="261">
        <f>VLOOKUP($A162,[1]Planilha!$A$18:$BK$553,57,FALSE)</f>
        <v>15.57</v>
      </c>
      <c r="AH162" s="261">
        <f t="shared" si="128"/>
        <v>0</v>
      </c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</row>
    <row r="163" spans="1:46" ht="15">
      <c r="A163" s="684"/>
      <c r="B163" s="137" t="s">
        <v>330</v>
      </c>
      <c r="C163" s="137"/>
      <c r="D163" s="180"/>
      <c r="E163" s="297"/>
      <c r="F163" s="261" t="e">
        <f>VLOOKUP($A163,[1]Planilha!$A$18:$BK$553,54,FALSE)</f>
        <v>#N/A</v>
      </c>
      <c r="G163" s="261" t="e">
        <f t="shared" si="119"/>
        <v>#N/A</v>
      </c>
      <c r="H163" s="298"/>
      <c r="I163" s="261" t="e">
        <f>VLOOKUP($A163,[1]Planilha!$A$18:$BK$553,62,FALSE)</f>
        <v>#N/A</v>
      </c>
      <c r="J163" s="261" t="e">
        <f t="shared" si="120"/>
        <v>#N/A</v>
      </c>
      <c r="K163" s="282"/>
      <c r="L163" s="261" t="e">
        <f>VLOOKUP($A163,[1]Planilha!$A$18:$BK$553,52,FALSE)</f>
        <v>#N/A</v>
      </c>
      <c r="M163" s="261" t="e">
        <f t="shared" si="121"/>
        <v>#N/A</v>
      </c>
      <c r="N163" s="298"/>
      <c r="O163" s="261" t="e">
        <f>VLOOKUP($A163,[1]Planilha!$A$18:$BK$553,60,FALSE)</f>
        <v>#N/A</v>
      </c>
      <c r="P163" s="261" t="e">
        <f t="shared" si="122"/>
        <v>#N/A</v>
      </c>
      <c r="Q163" s="297"/>
      <c r="R163" s="261" t="e">
        <f>VLOOKUP($A163,[1]Planilha!$A$18:$BK$553,51,FALSE)</f>
        <v>#N/A</v>
      </c>
      <c r="S163" s="261" t="e">
        <f t="shared" si="123"/>
        <v>#N/A</v>
      </c>
      <c r="T163" s="298"/>
      <c r="U163" s="261" t="e">
        <f>VLOOKUP($A163,[1]Planilha!$A$18:$BK$553,59,FALSE)</f>
        <v>#N/A</v>
      </c>
      <c r="V163" s="261" t="e">
        <f t="shared" si="124"/>
        <v>#N/A</v>
      </c>
      <c r="W163" s="297"/>
      <c r="X163" s="261" t="e">
        <f>VLOOKUP($A163,[1]Planilha!$A$18:$BK$553,50,FALSE)</f>
        <v>#N/A</v>
      </c>
      <c r="Y163" s="261" t="e">
        <f t="shared" si="125"/>
        <v>#N/A</v>
      </c>
      <c r="Z163" s="298"/>
      <c r="AA163" s="261" t="e">
        <f>VLOOKUP($A163,[1]Planilha!$A$18:$BK$553,58,FALSE)</f>
        <v>#N/A</v>
      </c>
      <c r="AB163" s="261" t="e">
        <f t="shared" si="126"/>
        <v>#N/A</v>
      </c>
      <c r="AC163" s="297"/>
      <c r="AD163" s="261" t="e">
        <f>VLOOKUP($A163,[1]Planilha!$A$18:$BK$553,49,FALSE)</f>
        <v>#N/A</v>
      </c>
      <c r="AE163" s="261" t="e">
        <f t="shared" si="127"/>
        <v>#N/A</v>
      </c>
      <c r="AF163" s="299"/>
      <c r="AG163" s="261" t="e">
        <f>VLOOKUP($A163,[1]Planilha!$A$18:$BK$553,57,FALSE)</f>
        <v>#N/A</v>
      </c>
      <c r="AH163" s="261" t="e">
        <f t="shared" si="128"/>
        <v>#N/A</v>
      </c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</row>
    <row r="164" spans="1:46">
      <c r="A164" s="686">
        <v>7891721274107</v>
      </c>
      <c r="B164" s="312" t="s">
        <v>19</v>
      </c>
      <c r="C164" s="116" t="s">
        <v>503</v>
      </c>
      <c r="D164" s="313" t="s">
        <v>20</v>
      </c>
      <c r="E164" s="314">
        <f>ROUND(K164*1.025,2)</f>
        <v>93.77</v>
      </c>
      <c r="F164" s="261">
        <f>VLOOKUP($A164,[1]Planilha!$A$18:$BK$553,54,FALSE)</f>
        <v>92.61</v>
      </c>
      <c r="G164" s="261">
        <f t="shared" si="119"/>
        <v>1.1599999999999966</v>
      </c>
      <c r="H164" s="314">
        <f>ROUND(E164/0.723358,2)</f>
        <v>129.63</v>
      </c>
      <c r="I164" s="261">
        <f>VLOOKUP($A164,[1]Planilha!$A$18:$BK$553,62,FALSE)</f>
        <v>129.63</v>
      </c>
      <c r="J164" s="261">
        <f t="shared" si="120"/>
        <v>0</v>
      </c>
      <c r="K164" s="282">
        <f>VLOOKUP(A164,[2]Plan1!$H$2:$J$279,3,FALSE)</f>
        <v>91.485854233875415</v>
      </c>
      <c r="L164" s="261">
        <f>VLOOKUP($A164,[1]Planilha!$A$18:$BK$553,52,FALSE)</f>
        <v>91.49</v>
      </c>
      <c r="M164" s="261">
        <f t="shared" si="121"/>
        <v>-4.1457661245800637E-3</v>
      </c>
      <c r="N164" s="314">
        <f>ROUND(K164/0.723358,2)</f>
        <v>126.47</v>
      </c>
      <c r="O164" s="261">
        <f>VLOOKUP($A164,[1]Planilha!$A$18:$BK$553,60,FALSE)</f>
        <v>126.47</v>
      </c>
      <c r="P164" s="261">
        <f t="shared" si="122"/>
        <v>0</v>
      </c>
      <c r="Q164" s="314">
        <f>ROUND(K164*0.993939,2)</f>
        <v>90.93</v>
      </c>
      <c r="R164" s="261">
        <f>VLOOKUP($A164,[1]Planilha!$A$18:$BK$553,51,FALSE)</f>
        <v>90.93</v>
      </c>
      <c r="S164" s="261">
        <f t="shared" si="123"/>
        <v>0</v>
      </c>
      <c r="T164" s="314">
        <f>ROUND(Q164/0.723358,2)</f>
        <v>125.71</v>
      </c>
      <c r="U164" s="261">
        <f>VLOOKUP($A164,[1]Planilha!$A$18:$BK$553,59,FALSE)</f>
        <v>125.71</v>
      </c>
      <c r="V164" s="261">
        <f t="shared" si="124"/>
        <v>0</v>
      </c>
      <c r="W164" s="314">
        <f t="shared" si="139"/>
        <v>90.38</v>
      </c>
      <c r="X164" s="261">
        <f>VLOOKUP($A164,[1]Planilha!$A$18:$BK$553,50,FALSE)</f>
        <v>90.38</v>
      </c>
      <c r="Y164" s="261">
        <f t="shared" si="125"/>
        <v>0</v>
      </c>
      <c r="Z164" s="314">
        <f t="shared" si="140"/>
        <v>124.95</v>
      </c>
      <c r="AA164" s="261">
        <f>VLOOKUP($A164,[1]Planilha!$A$18:$BK$553,58,FALSE)</f>
        <v>124.95</v>
      </c>
      <c r="AB164" s="261">
        <f t="shared" si="126"/>
        <v>0</v>
      </c>
      <c r="AC164" s="315">
        <f t="shared" si="141"/>
        <v>85.25</v>
      </c>
      <c r="AD164" s="261">
        <f>VLOOKUP($A164,[1]Planilha!$A$18:$BK$553,49,FALSE)</f>
        <v>85.25</v>
      </c>
      <c r="AE164" s="261">
        <f t="shared" si="127"/>
        <v>0</v>
      </c>
      <c r="AF164" s="316">
        <f t="shared" si="142"/>
        <v>117.85</v>
      </c>
      <c r="AG164" s="261">
        <f>VLOOKUP($A164,[1]Planilha!$A$18:$BK$553,57,FALSE)</f>
        <v>117.85</v>
      </c>
      <c r="AH164" s="261">
        <f t="shared" si="128"/>
        <v>0</v>
      </c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</row>
    <row r="165" spans="1:46" ht="15">
      <c r="A165" s="687"/>
      <c r="B165" s="137" t="s">
        <v>331</v>
      </c>
      <c r="C165" s="137"/>
      <c r="D165" s="180"/>
      <c r="E165" s="293"/>
      <c r="F165" s="261" t="e">
        <f>VLOOKUP($A165,[1]Planilha!$A$18:$BK$553,54,FALSE)</f>
        <v>#N/A</v>
      </c>
      <c r="G165" s="261" t="e">
        <f t="shared" si="119"/>
        <v>#N/A</v>
      </c>
      <c r="H165" s="294"/>
      <c r="I165" s="261" t="e">
        <f>VLOOKUP($A165,[1]Planilha!$A$18:$BK$553,62,FALSE)</f>
        <v>#N/A</v>
      </c>
      <c r="J165" s="261" t="e">
        <f t="shared" si="120"/>
        <v>#N/A</v>
      </c>
      <c r="K165" s="282"/>
      <c r="L165" s="261" t="e">
        <f>VLOOKUP($A165,[1]Planilha!$A$18:$BK$553,52,FALSE)</f>
        <v>#N/A</v>
      </c>
      <c r="M165" s="261" t="e">
        <f t="shared" si="121"/>
        <v>#N/A</v>
      </c>
      <c r="N165" s="294"/>
      <c r="O165" s="261" t="e">
        <f>VLOOKUP($A165,[1]Planilha!$A$18:$BK$553,60,FALSE)</f>
        <v>#N/A</v>
      </c>
      <c r="P165" s="261" t="e">
        <f t="shared" si="122"/>
        <v>#N/A</v>
      </c>
      <c r="Q165" s="293"/>
      <c r="R165" s="261" t="e">
        <f>VLOOKUP($A165,[1]Planilha!$A$18:$BK$553,51,FALSE)</f>
        <v>#N/A</v>
      </c>
      <c r="S165" s="261" t="e">
        <f t="shared" si="123"/>
        <v>#N/A</v>
      </c>
      <c r="T165" s="294"/>
      <c r="U165" s="261" t="e">
        <f>VLOOKUP($A165,[1]Planilha!$A$18:$BK$553,59,FALSE)</f>
        <v>#N/A</v>
      </c>
      <c r="V165" s="261" t="e">
        <f t="shared" si="124"/>
        <v>#N/A</v>
      </c>
      <c r="W165" s="293"/>
      <c r="X165" s="261" t="e">
        <f>VLOOKUP($A165,[1]Planilha!$A$18:$BK$553,50,FALSE)</f>
        <v>#N/A</v>
      </c>
      <c r="Y165" s="261" t="e">
        <f t="shared" si="125"/>
        <v>#N/A</v>
      </c>
      <c r="Z165" s="294"/>
      <c r="AA165" s="261" t="e">
        <f>VLOOKUP($A165,[1]Planilha!$A$18:$BK$553,58,FALSE)</f>
        <v>#N/A</v>
      </c>
      <c r="AB165" s="261" t="e">
        <f t="shared" si="126"/>
        <v>#N/A</v>
      </c>
      <c r="AC165" s="293"/>
      <c r="AD165" s="261" t="e">
        <f>VLOOKUP($A165,[1]Planilha!$A$18:$BK$553,49,FALSE)</f>
        <v>#N/A</v>
      </c>
      <c r="AE165" s="261" t="e">
        <f t="shared" si="127"/>
        <v>#N/A</v>
      </c>
      <c r="AF165" s="295"/>
      <c r="AG165" s="261" t="e">
        <f>VLOOKUP($A165,[1]Planilha!$A$18:$BK$553,57,FALSE)</f>
        <v>#N/A</v>
      </c>
      <c r="AH165" s="261" t="e">
        <f t="shared" si="128"/>
        <v>#N/A</v>
      </c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</row>
    <row r="166" spans="1:46">
      <c r="A166" s="685">
        <v>7891721270574</v>
      </c>
      <c r="B166" s="175" t="s">
        <v>64</v>
      </c>
      <c r="C166" s="117" t="s">
        <v>504</v>
      </c>
      <c r="D166" s="218" t="s">
        <v>624</v>
      </c>
      <c r="E166" s="282">
        <f>K166</f>
        <v>43.77869974159686</v>
      </c>
      <c r="F166" s="261">
        <f>VLOOKUP($A166,[1]Planilha!$A$18:$BK$553,54,FALSE)</f>
        <v>44.32</v>
      </c>
      <c r="G166" s="261">
        <f t="shared" si="119"/>
        <v>-0.54130025840314033</v>
      </c>
      <c r="H166" s="282">
        <f t="shared" ref="H166:H167" si="154">N166</f>
        <v>60.52</v>
      </c>
      <c r="I166" s="261">
        <f>VLOOKUP($A166,[1]Planilha!$A$18:$BK$553,62,FALSE)</f>
        <v>62.03</v>
      </c>
      <c r="J166" s="261">
        <f t="shared" si="120"/>
        <v>-1.509999999999998</v>
      </c>
      <c r="K166" s="282">
        <f>VLOOKUP(A166,[2]Plan1!$H$2:$J$279,3,FALSE)</f>
        <v>43.77869974159686</v>
      </c>
      <c r="L166" s="261">
        <f>VLOOKUP($A166,[1]Planilha!$A$18:$BK$553,52,FALSE)</f>
        <v>43.78</v>
      </c>
      <c r="M166" s="261">
        <f t="shared" si="121"/>
        <v>-1.3002584031411857E-3</v>
      </c>
      <c r="N166" s="282">
        <f t="shared" ref="N166:N167" si="155">ROUND(K166/0.723358,2)</f>
        <v>60.52</v>
      </c>
      <c r="O166" s="261">
        <f>VLOOKUP($A166,[1]Planilha!$A$18:$BK$553,60,FALSE)</f>
        <v>60.52</v>
      </c>
      <c r="P166" s="261">
        <f t="shared" si="122"/>
        <v>0</v>
      </c>
      <c r="Q166" s="282">
        <f t="shared" ref="Q166:Q167" si="156">ROUND(K166*0.993939,2)</f>
        <v>43.51</v>
      </c>
      <c r="R166" s="261">
        <f>VLOOKUP($A166,[1]Planilha!$A$18:$BK$553,51,FALSE)</f>
        <v>43.51</v>
      </c>
      <c r="S166" s="261">
        <f t="shared" si="123"/>
        <v>0</v>
      </c>
      <c r="T166" s="282">
        <f t="shared" ref="T166:T167" si="157">ROUND(Q166/0.723358,2)</f>
        <v>60.15</v>
      </c>
      <c r="U166" s="261">
        <f>VLOOKUP($A166,[1]Planilha!$A$18:$BK$553,59,FALSE)</f>
        <v>60.15</v>
      </c>
      <c r="V166" s="261">
        <f t="shared" si="124"/>
        <v>0</v>
      </c>
      <c r="W166" s="282">
        <f t="shared" si="139"/>
        <v>43.25</v>
      </c>
      <c r="X166" s="261">
        <f>VLOOKUP($A166,[1]Planilha!$A$18:$BK$553,50,FALSE)</f>
        <v>43.25</v>
      </c>
      <c r="Y166" s="261">
        <f t="shared" si="125"/>
        <v>0</v>
      </c>
      <c r="Z166" s="282">
        <f t="shared" si="140"/>
        <v>59.79</v>
      </c>
      <c r="AA166" s="261">
        <f>VLOOKUP($A166,[1]Planilha!$A$18:$BK$553,58,FALSE)</f>
        <v>59.79</v>
      </c>
      <c r="AB166" s="261">
        <f t="shared" si="126"/>
        <v>0</v>
      </c>
      <c r="AC166" s="282">
        <f t="shared" si="141"/>
        <v>40.79</v>
      </c>
      <c r="AD166" s="261">
        <f>VLOOKUP($A166,[1]Planilha!$A$18:$BK$553,49,FALSE)</f>
        <v>40.79</v>
      </c>
      <c r="AE166" s="261">
        <f t="shared" si="127"/>
        <v>0</v>
      </c>
      <c r="AF166" s="283">
        <f t="shared" si="142"/>
        <v>56.39</v>
      </c>
      <c r="AG166" s="261">
        <f>VLOOKUP($A166,[1]Planilha!$A$18:$BK$553,57,FALSE)</f>
        <v>56.39</v>
      </c>
      <c r="AH166" s="261">
        <f t="shared" si="128"/>
        <v>0</v>
      </c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</row>
    <row r="167" spans="1:46">
      <c r="A167" s="688">
        <v>7891721270581</v>
      </c>
      <c r="B167" s="178" t="s">
        <v>65</v>
      </c>
      <c r="C167" s="122" t="s">
        <v>405</v>
      </c>
      <c r="D167" s="317" t="s">
        <v>625</v>
      </c>
      <c r="E167" s="289">
        <f>K167</f>
        <v>102.25505819041085</v>
      </c>
      <c r="F167" s="261">
        <f>VLOOKUP($A167,[1]Planilha!$A$18:$BK$553,54,FALSE)</f>
        <v>103.52</v>
      </c>
      <c r="G167" s="261">
        <f t="shared" si="119"/>
        <v>-1.2649418095891463</v>
      </c>
      <c r="H167" s="289">
        <f t="shared" si="154"/>
        <v>141.36000000000001</v>
      </c>
      <c r="I167" s="261">
        <f>VLOOKUP($A167,[1]Planilha!$A$18:$BK$553,62,FALSE)</f>
        <v>144.88999999999999</v>
      </c>
      <c r="J167" s="261">
        <f t="shared" si="120"/>
        <v>-3.5299999999999727</v>
      </c>
      <c r="K167" s="282">
        <f>VLOOKUP(A167,[2]Plan1!$H$2:$J$279,3,FALSE)</f>
        <v>102.25505819041085</v>
      </c>
      <c r="L167" s="261">
        <f>VLOOKUP($A167,[1]Planilha!$A$18:$BK$553,52,FALSE)</f>
        <v>102.26</v>
      </c>
      <c r="M167" s="261">
        <f t="shared" si="121"/>
        <v>-4.9418095891553548E-3</v>
      </c>
      <c r="N167" s="289">
        <f t="shared" si="155"/>
        <v>141.36000000000001</v>
      </c>
      <c r="O167" s="261">
        <f>VLOOKUP($A167,[1]Planilha!$A$18:$BK$553,60,FALSE)</f>
        <v>141.36000000000001</v>
      </c>
      <c r="P167" s="261">
        <f t="shared" si="122"/>
        <v>0</v>
      </c>
      <c r="Q167" s="289">
        <f t="shared" si="156"/>
        <v>101.64</v>
      </c>
      <c r="R167" s="261">
        <f>VLOOKUP($A167,[1]Planilha!$A$18:$BK$553,51,FALSE)</f>
        <v>101.64</v>
      </c>
      <c r="S167" s="261">
        <f t="shared" si="123"/>
        <v>0</v>
      </c>
      <c r="T167" s="289">
        <f t="shared" si="157"/>
        <v>140.51</v>
      </c>
      <c r="U167" s="261">
        <f>VLOOKUP($A167,[1]Planilha!$A$18:$BK$553,59,FALSE)</f>
        <v>140.51</v>
      </c>
      <c r="V167" s="261">
        <f t="shared" si="124"/>
        <v>0</v>
      </c>
      <c r="W167" s="289">
        <f t="shared" si="139"/>
        <v>101.02</v>
      </c>
      <c r="X167" s="261">
        <f>VLOOKUP($A167,[1]Planilha!$A$18:$BK$553,50,FALSE)</f>
        <v>101.02</v>
      </c>
      <c r="Y167" s="261">
        <f t="shared" si="125"/>
        <v>0</v>
      </c>
      <c r="Z167" s="289">
        <f t="shared" si="140"/>
        <v>139.65</v>
      </c>
      <c r="AA167" s="261">
        <f>VLOOKUP($A167,[1]Planilha!$A$18:$BK$553,58,FALSE)</f>
        <v>139.65</v>
      </c>
      <c r="AB167" s="261">
        <f t="shared" si="126"/>
        <v>0</v>
      </c>
      <c r="AC167" s="289">
        <f t="shared" si="141"/>
        <v>95.28</v>
      </c>
      <c r="AD167" s="261">
        <f>VLOOKUP($A167,[1]Planilha!$A$18:$BK$553,49,FALSE)</f>
        <v>95.28</v>
      </c>
      <c r="AE167" s="261">
        <f t="shared" si="127"/>
        <v>0</v>
      </c>
      <c r="AF167" s="290">
        <f t="shared" si="142"/>
        <v>131.72</v>
      </c>
      <c r="AG167" s="261">
        <f>VLOOKUP($A167,[1]Planilha!$A$18:$BK$553,57,FALSE)</f>
        <v>131.72</v>
      </c>
      <c r="AH167" s="261">
        <f t="shared" si="128"/>
        <v>0</v>
      </c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</row>
    <row r="168" spans="1:46" ht="15">
      <c r="A168" s="684"/>
      <c r="B168" s="137" t="s">
        <v>734</v>
      </c>
      <c r="C168" s="137"/>
      <c r="D168" s="180"/>
      <c r="E168" s="297"/>
      <c r="F168" s="261" t="e">
        <f>VLOOKUP($A168,[1]Planilha!$A$18:$BK$553,54,FALSE)</f>
        <v>#N/A</v>
      </c>
      <c r="G168" s="261" t="e">
        <f t="shared" si="119"/>
        <v>#N/A</v>
      </c>
      <c r="H168" s="298"/>
      <c r="I168" s="261" t="e">
        <f>VLOOKUP($A168,[1]Planilha!$A$18:$BK$553,62,FALSE)</f>
        <v>#N/A</v>
      </c>
      <c r="J168" s="261" t="e">
        <f t="shared" si="120"/>
        <v>#N/A</v>
      </c>
      <c r="K168" s="282"/>
      <c r="L168" s="261" t="e">
        <f>VLOOKUP($A168,[1]Planilha!$A$18:$BK$553,52,FALSE)</f>
        <v>#N/A</v>
      </c>
      <c r="M168" s="261" t="e">
        <f t="shared" si="121"/>
        <v>#N/A</v>
      </c>
      <c r="N168" s="298"/>
      <c r="O168" s="261" t="e">
        <f>VLOOKUP($A168,[1]Planilha!$A$18:$BK$553,60,FALSE)</f>
        <v>#N/A</v>
      </c>
      <c r="P168" s="261" t="e">
        <f t="shared" si="122"/>
        <v>#N/A</v>
      </c>
      <c r="Q168" s="297"/>
      <c r="R168" s="261" t="e">
        <f>VLOOKUP($A168,[1]Planilha!$A$18:$BK$553,51,FALSE)</f>
        <v>#N/A</v>
      </c>
      <c r="S168" s="261" t="e">
        <f t="shared" si="123"/>
        <v>#N/A</v>
      </c>
      <c r="T168" s="298"/>
      <c r="U168" s="261" t="e">
        <f>VLOOKUP($A168,[1]Planilha!$A$18:$BK$553,59,FALSE)</f>
        <v>#N/A</v>
      </c>
      <c r="V168" s="261" t="e">
        <f t="shared" si="124"/>
        <v>#N/A</v>
      </c>
      <c r="W168" s="297"/>
      <c r="X168" s="261" t="e">
        <f>VLOOKUP($A168,[1]Planilha!$A$18:$BK$553,50,FALSE)</f>
        <v>#N/A</v>
      </c>
      <c r="Y168" s="261" t="e">
        <f t="shared" si="125"/>
        <v>#N/A</v>
      </c>
      <c r="Z168" s="298"/>
      <c r="AA168" s="261" t="e">
        <f>VLOOKUP($A168,[1]Planilha!$A$18:$BK$553,58,FALSE)</f>
        <v>#N/A</v>
      </c>
      <c r="AB168" s="261" t="e">
        <f t="shared" si="126"/>
        <v>#N/A</v>
      </c>
      <c r="AC168" s="297"/>
      <c r="AD168" s="261" t="e">
        <f>VLOOKUP($A168,[1]Planilha!$A$18:$BK$553,49,FALSE)</f>
        <v>#N/A</v>
      </c>
      <c r="AE168" s="261" t="e">
        <f t="shared" si="127"/>
        <v>#N/A</v>
      </c>
      <c r="AF168" s="299"/>
      <c r="AG168" s="261" t="e">
        <f>VLOOKUP($A168,[1]Planilha!$A$18:$BK$553,57,FALSE)</f>
        <v>#N/A</v>
      </c>
      <c r="AH168" s="261" t="e">
        <f t="shared" si="128"/>
        <v>#N/A</v>
      </c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</row>
    <row r="169" spans="1:46">
      <c r="A169" s="686">
        <v>7891721274022</v>
      </c>
      <c r="B169" s="312">
        <v>1008903860032</v>
      </c>
      <c r="C169" s="116">
        <v>3279680001</v>
      </c>
      <c r="D169" s="313" t="s">
        <v>735</v>
      </c>
      <c r="E169" s="314">
        <f>ROUND(K169*1.025,2)</f>
        <v>27.75</v>
      </c>
      <c r="F169" s="261">
        <f>VLOOKUP($A169,[1]Planilha!$A$18:$BK$553,54,FALSE)</f>
        <v>27.4</v>
      </c>
      <c r="G169" s="261">
        <f t="shared" si="119"/>
        <v>0.35000000000000142</v>
      </c>
      <c r="H169" s="314">
        <f>ROUND(E169/0.723358,2)</f>
        <v>38.36</v>
      </c>
      <c r="I169" s="261">
        <f>VLOOKUP($A169,[1]Planilha!$A$18:$BK$553,62,FALSE)</f>
        <v>38.36</v>
      </c>
      <c r="J169" s="261">
        <f t="shared" si="120"/>
        <v>0</v>
      </c>
      <c r="K169" s="282">
        <f>VLOOKUP(A169,[2]Plan1!$H$2:$J$279,3,FALSE)</f>
        <v>27.069672202030699</v>
      </c>
      <c r="L169" s="261">
        <f>VLOOKUP($A169,[1]Planilha!$A$18:$BK$553,52,FALSE)</f>
        <v>27.07</v>
      </c>
      <c r="M169" s="261">
        <f t="shared" si="121"/>
        <v>-3.2779796930171301E-4</v>
      </c>
      <c r="N169" s="314">
        <f>ROUND(K169/0.723358,2)</f>
        <v>37.42</v>
      </c>
      <c r="O169" s="261">
        <f>VLOOKUP($A169,[1]Planilha!$A$18:$BK$553,60,FALSE)</f>
        <v>37.42</v>
      </c>
      <c r="P169" s="261">
        <f t="shared" si="122"/>
        <v>0</v>
      </c>
      <c r="Q169" s="494">
        <v>26.9</v>
      </c>
      <c r="R169" s="261">
        <f>VLOOKUP($A169,[1]Planilha!$A$18:$BK$553,51,FALSE)</f>
        <v>26.9</v>
      </c>
      <c r="S169" s="261">
        <f t="shared" si="123"/>
        <v>0</v>
      </c>
      <c r="T169" s="314">
        <f>ROUND(Q169/0.723358,2)</f>
        <v>37.19</v>
      </c>
      <c r="U169" s="261">
        <f>VLOOKUP($A169,[1]Planilha!$A$18:$BK$553,59,FALSE)</f>
        <v>37.19</v>
      </c>
      <c r="V169" s="261">
        <f t="shared" si="124"/>
        <v>0</v>
      </c>
      <c r="W169" s="314">
        <f t="shared" si="139"/>
        <v>26.74</v>
      </c>
      <c r="X169" s="261">
        <f>VLOOKUP($A169,[1]Planilha!$A$18:$BK$553,50,FALSE)</f>
        <v>26.74</v>
      </c>
      <c r="Y169" s="261">
        <f t="shared" si="125"/>
        <v>0</v>
      </c>
      <c r="Z169" s="314">
        <f t="shared" si="140"/>
        <v>36.97</v>
      </c>
      <c r="AA169" s="261">
        <f>VLOOKUP($A169,[1]Planilha!$A$18:$BK$553,58,FALSE)</f>
        <v>36.97</v>
      </c>
      <c r="AB169" s="261">
        <f t="shared" si="126"/>
        <v>0</v>
      </c>
      <c r="AC169" s="315">
        <f t="shared" si="141"/>
        <v>25.22</v>
      </c>
      <c r="AD169" s="261">
        <f>VLOOKUP($A169,[1]Planilha!$A$18:$BK$553,49,FALSE)</f>
        <v>25.22</v>
      </c>
      <c r="AE169" s="261">
        <f t="shared" si="127"/>
        <v>0</v>
      </c>
      <c r="AF169" s="316">
        <f t="shared" si="142"/>
        <v>34.869999999999997</v>
      </c>
      <c r="AG169" s="261">
        <f>VLOOKUP($A169,[1]Planilha!$A$18:$BK$553,57,FALSE)</f>
        <v>34.869999999999997</v>
      </c>
      <c r="AH169" s="261">
        <f t="shared" si="128"/>
        <v>0</v>
      </c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</row>
    <row r="170" spans="1:46" ht="15">
      <c r="A170" s="684"/>
      <c r="B170" s="137" t="s">
        <v>332</v>
      </c>
      <c r="C170" s="137"/>
      <c r="D170" s="180"/>
      <c r="E170" s="297"/>
      <c r="F170" s="261" t="e">
        <f>VLOOKUP($A170,[1]Planilha!$A$18:$BK$553,54,FALSE)</f>
        <v>#N/A</v>
      </c>
      <c r="G170" s="261" t="e">
        <f t="shared" si="119"/>
        <v>#N/A</v>
      </c>
      <c r="H170" s="298"/>
      <c r="I170" s="261" t="e">
        <f>VLOOKUP($A170,[1]Planilha!$A$18:$BK$553,62,FALSE)</f>
        <v>#N/A</v>
      </c>
      <c r="J170" s="261" t="e">
        <f t="shared" si="120"/>
        <v>#N/A</v>
      </c>
      <c r="K170" s="282"/>
      <c r="L170" s="261" t="e">
        <f>VLOOKUP($A170,[1]Planilha!$A$18:$BK$553,52,FALSE)</f>
        <v>#N/A</v>
      </c>
      <c r="M170" s="261" t="e">
        <f t="shared" si="121"/>
        <v>#N/A</v>
      </c>
      <c r="N170" s="298"/>
      <c r="O170" s="261" t="e">
        <f>VLOOKUP($A170,[1]Planilha!$A$18:$BK$553,60,FALSE)</f>
        <v>#N/A</v>
      </c>
      <c r="P170" s="261" t="e">
        <f t="shared" si="122"/>
        <v>#N/A</v>
      </c>
      <c r="Q170" s="297"/>
      <c r="R170" s="261" t="e">
        <f>VLOOKUP($A170,[1]Planilha!$A$18:$BK$553,51,FALSE)</f>
        <v>#N/A</v>
      </c>
      <c r="S170" s="261" t="e">
        <f t="shared" si="123"/>
        <v>#N/A</v>
      </c>
      <c r="T170" s="298"/>
      <c r="U170" s="261" t="e">
        <f>VLOOKUP($A170,[1]Planilha!$A$18:$BK$553,59,FALSE)</f>
        <v>#N/A</v>
      </c>
      <c r="V170" s="261" t="e">
        <f t="shared" si="124"/>
        <v>#N/A</v>
      </c>
      <c r="W170" s="297"/>
      <c r="X170" s="261" t="e">
        <f>VLOOKUP($A170,[1]Planilha!$A$18:$BK$553,50,FALSE)</f>
        <v>#N/A</v>
      </c>
      <c r="Y170" s="261" t="e">
        <f t="shared" si="125"/>
        <v>#N/A</v>
      </c>
      <c r="Z170" s="298"/>
      <c r="AA170" s="261" t="e">
        <f>VLOOKUP($A170,[1]Planilha!$A$18:$BK$553,58,FALSE)</f>
        <v>#N/A</v>
      </c>
      <c r="AB170" s="261" t="e">
        <f t="shared" si="126"/>
        <v>#N/A</v>
      </c>
      <c r="AC170" s="297"/>
      <c r="AD170" s="261" t="e">
        <f>VLOOKUP($A170,[1]Planilha!$A$18:$BK$553,49,FALSE)</f>
        <v>#N/A</v>
      </c>
      <c r="AE170" s="261" t="e">
        <f t="shared" si="127"/>
        <v>#N/A</v>
      </c>
      <c r="AF170" s="299"/>
      <c r="AG170" s="261" t="e">
        <f>VLOOKUP($A170,[1]Planilha!$A$18:$BK$553,57,FALSE)</f>
        <v>#N/A</v>
      </c>
      <c r="AH170" s="261" t="e">
        <f t="shared" si="128"/>
        <v>#N/A</v>
      </c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</row>
    <row r="171" spans="1:46">
      <c r="A171" s="229">
        <v>7891721238123</v>
      </c>
      <c r="B171" s="139" t="s">
        <v>38</v>
      </c>
      <c r="C171" s="123" t="s">
        <v>505</v>
      </c>
      <c r="D171" s="215" t="s">
        <v>678</v>
      </c>
      <c r="E171" s="282">
        <f>K171</f>
        <v>9.3148731090039512</v>
      </c>
      <c r="F171" s="261">
        <f>VLOOKUP($A171,[1]Planilha!$A$18:$BK$553,54,FALSE)</f>
        <v>9.43</v>
      </c>
      <c r="G171" s="261">
        <f t="shared" si="119"/>
        <v>-0.11512689099604856</v>
      </c>
      <c r="H171" s="282">
        <f t="shared" ref="H171:H174" si="158">N171</f>
        <v>12.88</v>
      </c>
      <c r="I171" s="261">
        <f>VLOOKUP($A171,[1]Planilha!$A$18:$BK$553,62,FALSE)</f>
        <v>13.2</v>
      </c>
      <c r="J171" s="261">
        <f t="shared" si="120"/>
        <v>-0.31999999999999851</v>
      </c>
      <c r="K171" s="282">
        <f>VLOOKUP(A171,[2]Plan1!$H$2:$J$279,3,FALSE)</f>
        <v>9.3148731090039512</v>
      </c>
      <c r="L171" s="261">
        <f>VLOOKUP($A171,[1]Planilha!$A$18:$BK$553,52,FALSE)</f>
        <v>9.31</v>
      </c>
      <c r="M171" s="261">
        <f t="shared" si="121"/>
        <v>4.8731090039506597E-3</v>
      </c>
      <c r="N171" s="282">
        <f t="shared" ref="N171:N174" si="159">ROUND(K171/0.723358,2)</f>
        <v>12.88</v>
      </c>
      <c r="O171" s="261">
        <f>VLOOKUP($A171,[1]Planilha!$A$18:$BK$553,60,FALSE)</f>
        <v>12.88</v>
      </c>
      <c r="P171" s="261">
        <f t="shared" si="122"/>
        <v>0</v>
      </c>
      <c r="Q171" s="282">
        <f t="shared" ref="Q171:Q174" si="160">ROUND(K171*0.993939,2)</f>
        <v>9.26</v>
      </c>
      <c r="R171" s="261">
        <f>VLOOKUP($A171,[1]Planilha!$A$18:$BK$553,51,FALSE)</f>
        <v>9.26</v>
      </c>
      <c r="S171" s="261">
        <f t="shared" si="123"/>
        <v>0</v>
      </c>
      <c r="T171" s="282">
        <f t="shared" ref="T171:T174" si="161">ROUND(Q171/0.723358,2)</f>
        <v>12.8</v>
      </c>
      <c r="U171" s="261">
        <f>VLOOKUP($A171,[1]Planilha!$A$18:$BK$553,59,FALSE)</f>
        <v>12.8</v>
      </c>
      <c r="V171" s="261">
        <f t="shared" si="124"/>
        <v>0</v>
      </c>
      <c r="W171" s="282">
        <f t="shared" si="139"/>
        <v>9.1999999999999993</v>
      </c>
      <c r="X171" s="261">
        <f>VLOOKUP($A171,[1]Planilha!$A$18:$BK$553,50,FALSE)</f>
        <v>9.1999999999999993</v>
      </c>
      <c r="Y171" s="261">
        <f t="shared" si="125"/>
        <v>0</v>
      </c>
      <c r="Z171" s="282">
        <f t="shared" si="140"/>
        <v>12.72</v>
      </c>
      <c r="AA171" s="261">
        <f>VLOOKUP($A171,[1]Planilha!$A$18:$BK$553,58,FALSE)</f>
        <v>12.72</v>
      </c>
      <c r="AB171" s="261">
        <f t="shared" si="126"/>
        <v>0</v>
      </c>
      <c r="AC171" s="282">
        <f t="shared" si="141"/>
        <v>8.68</v>
      </c>
      <c r="AD171" s="261">
        <f>VLOOKUP($A171,[1]Planilha!$A$18:$BK$553,49,FALSE)</f>
        <v>8.68</v>
      </c>
      <c r="AE171" s="261">
        <f t="shared" si="127"/>
        <v>0</v>
      </c>
      <c r="AF171" s="283">
        <f t="shared" si="142"/>
        <v>12</v>
      </c>
      <c r="AG171" s="261">
        <f>VLOOKUP($A171,[1]Planilha!$A$18:$BK$553,57,FALSE)</f>
        <v>12</v>
      </c>
      <c r="AH171" s="261">
        <f t="shared" si="128"/>
        <v>0</v>
      </c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</row>
    <row r="172" spans="1:46">
      <c r="A172" s="685">
        <v>7891721027406</v>
      </c>
      <c r="B172" s="175" t="s">
        <v>39</v>
      </c>
      <c r="C172" s="121" t="s">
        <v>664</v>
      </c>
      <c r="D172" s="218" t="s">
        <v>701</v>
      </c>
      <c r="E172" s="284">
        <f>K172</f>
        <v>12.659713289603848</v>
      </c>
      <c r="F172" s="261">
        <f>VLOOKUP($A172,[1]Planilha!$A$18:$BK$553,54,FALSE)</f>
        <v>12.82</v>
      </c>
      <c r="G172" s="261">
        <f t="shared" si="119"/>
        <v>-0.16028671039615183</v>
      </c>
      <c r="H172" s="284">
        <f t="shared" si="158"/>
        <v>17.5</v>
      </c>
      <c r="I172" s="261">
        <f>VLOOKUP($A172,[1]Planilha!$A$18:$BK$553,62,FALSE)</f>
        <v>17.940000000000001</v>
      </c>
      <c r="J172" s="261">
        <f t="shared" si="120"/>
        <v>-0.44000000000000128</v>
      </c>
      <c r="K172" s="282">
        <f>VLOOKUP(A172,[2]Plan1!$H$2:$J$279,3,FALSE)</f>
        <v>12.659713289603848</v>
      </c>
      <c r="L172" s="261">
        <f>VLOOKUP($A172,[1]Planilha!$A$18:$BK$553,52,FALSE)</f>
        <v>12.66</v>
      </c>
      <c r="M172" s="261">
        <f t="shared" si="121"/>
        <v>-2.8671039615169036E-4</v>
      </c>
      <c r="N172" s="284">
        <f>ROUND(K172/0.723358,2)</f>
        <v>17.5</v>
      </c>
      <c r="O172" s="261">
        <f>VLOOKUP($A172,[1]Planilha!$A$18:$BK$553,60,FALSE)</f>
        <v>17.5</v>
      </c>
      <c r="P172" s="261">
        <f t="shared" si="122"/>
        <v>0</v>
      </c>
      <c r="Q172" s="284">
        <f t="shared" si="160"/>
        <v>12.58</v>
      </c>
      <c r="R172" s="261">
        <f>VLOOKUP($A172,[1]Planilha!$A$18:$BK$553,51,FALSE)</f>
        <v>12.58</v>
      </c>
      <c r="S172" s="261">
        <f t="shared" si="123"/>
        <v>0</v>
      </c>
      <c r="T172" s="284">
        <f t="shared" si="161"/>
        <v>17.39</v>
      </c>
      <c r="U172" s="261">
        <f>VLOOKUP($A172,[1]Planilha!$A$18:$BK$553,59,FALSE)</f>
        <v>17.39</v>
      </c>
      <c r="V172" s="261">
        <f t="shared" si="124"/>
        <v>0</v>
      </c>
      <c r="W172" s="284">
        <f t="shared" si="139"/>
        <v>12.51</v>
      </c>
      <c r="X172" s="261">
        <f>VLOOKUP($A172,[1]Planilha!$A$18:$BK$553,50,FALSE)</f>
        <v>12.51</v>
      </c>
      <c r="Y172" s="261">
        <f t="shared" si="125"/>
        <v>0</v>
      </c>
      <c r="Z172" s="284">
        <f t="shared" si="140"/>
        <v>17.29</v>
      </c>
      <c r="AA172" s="261">
        <f>VLOOKUP($A172,[1]Planilha!$A$18:$BK$553,58,FALSE)</f>
        <v>17.29</v>
      </c>
      <c r="AB172" s="261">
        <f t="shared" si="126"/>
        <v>0</v>
      </c>
      <c r="AC172" s="284">
        <f t="shared" si="141"/>
        <v>11.8</v>
      </c>
      <c r="AD172" s="261">
        <f>VLOOKUP($A172,[1]Planilha!$A$18:$BK$553,49,FALSE)</f>
        <v>11.8</v>
      </c>
      <c r="AE172" s="261">
        <f t="shared" si="127"/>
        <v>0</v>
      </c>
      <c r="AF172" s="285">
        <f t="shared" si="142"/>
        <v>16.309999999999999</v>
      </c>
      <c r="AG172" s="261">
        <f>VLOOKUP($A172,[1]Planilha!$A$18:$BK$553,57,FALSE)</f>
        <v>16.309999999999999</v>
      </c>
      <c r="AH172" s="261">
        <f t="shared" si="128"/>
        <v>0</v>
      </c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</row>
    <row r="173" spans="1:46">
      <c r="A173" s="685">
        <v>7891721238239</v>
      </c>
      <c r="B173" s="175" t="s">
        <v>37</v>
      </c>
      <c r="C173" s="121" t="s">
        <v>506</v>
      </c>
      <c r="D173" s="218" t="s">
        <v>679</v>
      </c>
      <c r="E173" s="284">
        <f>K173</f>
        <v>17.3222177837734</v>
      </c>
      <c r="F173" s="261">
        <f>VLOOKUP($A173,[1]Planilha!$A$18:$BK$553,54,FALSE)</f>
        <v>17.54</v>
      </c>
      <c r="G173" s="261">
        <f t="shared" si="119"/>
        <v>-0.21778221622659899</v>
      </c>
      <c r="H173" s="284">
        <f t="shared" si="158"/>
        <v>23.95</v>
      </c>
      <c r="I173" s="261">
        <f>VLOOKUP($A173,[1]Planilha!$A$18:$BK$553,62,FALSE)</f>
        <v>24.55</v>
      </c>
      <c r="J173" s="261">
        <f t="shared" si="120"/>
        <v>-0.60000000000000142</v>
      </c>
      <c r="K173" s="282">
        <f>VLOOKUP(A173,[2]Plan1!$H$2:$J$279,3,FALSE)</f>
        <v>17.3222177837734</v>
      </c>
      <c r="L173" s="261">
        <f>VLOOKUP($A173,[1]Planilha!$A$18:$BK$553,52,FALSE)</f>
        <v>17.32</v>
      </c>
      <c r="M173" s="261">
        <f t="shared" si="121"/>
        <v>2.2177837733998729E-3</v>
      </c>
      <c r="N173" s="284">
        <f>ROUND(K173/0.723358,2)</f>
        <v>23.95</v>
      </c>
      <c r="O173" s="261">
        <f>VLOOKUP($A173,[1]Planilha!$A$18:$BK$553,60,FALSE)</f>
        <v>23.95</v>
      </c>
      <c r="P173" s="261">
        <f t="shared" si="122"/>
        <v>0</v>
      </c>
      <c r="Q173" s="284">
        <f t="shared" si="160"/>
        <v>17.22</v>
      </c>
      <c r="R173" s="261">
        <f>VLOOKUP($A173,[1]Planilha!$A$18:$BK$553,51,FALSE)</f>
        <v>17.22</v>
      </c>
      <c r="S173" s="261">
        <f t="shared" si="123"/>
        <v>0</v>
      </c>
      <c r="T173" s="284">
        <f t="shared" si="161"/>
        <v>23.81</v>
      </c>
      <c r="U173" s="261">
        <f>VLOOKUP($A173,[1]Planilha!$A$18:$BK$553,59,FALSE)</f>
        <v>23.81</v>
      </c>
      <c r="V173" s="261">
        <f t="shared" si="124"/>
        <v>0</v>
      </c>
      <c r="W173" s="284">
        <f t="shared" si="139"/>
        <v>17.11</v>
      </c>
      <c r="X173" s="261">
        <f>VLOOKUP($A173,[1]Planilha!$A$18:$BK$553,50,FALSE)</f>
        <v>17.11</v>
      </c>
      <c r="Y173" s="261">
        <f t="shared" si="125"/>
        <v>0</v>
      </c>
      <c r="Z173" s="284">
        <f t="shared" si="140"/>
        <v>23.65</v>
      </c>
      <c r="AA173" s="261">
        <f>VLOOKUP($A173,[1]Planilha!$A$18:$BK$553,58,FALSE)</f>
        <v>23.65</v>
      </c>
      <c r="AB173" s="261">
        <f t="shared" si="126"/>
        <v>0</v>
      </c>
      <c r="AC173" s="284">
        <f t="shared" si="141"/>
        <v>16.14</v>
      </c>
      <c r="AD173" s="261">
        <f>VLOOKUP($A173,[1]Planilha!$A$18:$BK$553,49,FALSE)</f>
        <v>16.14</v>
      </c>
      <c r="AE173" s="261">
        <f t="shared" si="127"/>
        <v>0</v>
      </c>
      <c r="AF173" s="285">
        <f t="shared" si="142"/>
        <v>22.31</v>
      </c>
      <c r="AG173" s="261">
        <f>VLOOKUP($A173,[1]Planilha!$A$18:$BK$553,57,FALSE)</f>
        <v>22.31</v>
      </c>
      <c r="AH173" s="261">
        <f t="shared" si="128"/>
        <v>0</v>
      </c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</row>
    <row r="174" spans="1:46">
      <c r="A174" s="685">
        <v>7891721238246</v>
      </c>
      <c r="B174" s="175" t="s">
        <v>40</v>
      </c>
      <c r="C174" s="121" t="s">
        <v>507</v>
      </c>
      <c r="D174" s="218" t="s">
        <v>702</v>
      </c>
      <c r="E174" s="284">
        <f>K174</f>
        <v>23.525375936885933</v>
      </c>
      <c r="F174" s="261">
        <f>VLOOKUP($A174,[1]Planilha!$A$18:$BK$553,54,FALSE)</f>
        <v>23.82</v>
      </c>
      <c r="G174" s="261">
        <f t="shared" si="119"/>
        <v>-0.29462406311406752</v>
      </c>
      <c r="H174" s="284">
        <f t="shared" si="158"/>
        <v>32.520000000000003</v>
      </c>
      <c r="I174" s="261">
        <f>VLOOKUP($A174,[1]Planilha!$A$18:$BK$553,62,FALSE)</f>
        <v>33.33</v>
      </c>
      <c r="J174" s="261">
        <f t="shared" si="120"/>
        <v>-0.80999999999999517</v>
      </c>
      <c r="K174" s="282">
        <f>VLOOKUP(A174,[2]Plan1!$H$2:$J$279,3,FALSE)</f>
        <v>23.525375936885933</v>
      </c>
      <c r="L174" s="261">
        <f>VLOOKUP($A174,[1]Planilha!$A$18:$BK$553,52,FALSE)</f>
        <v>23.53</v>
      </c>
      <c r="M174" s="261">
        <f t="shared" si="121"/>
        <v>-4.6240631140683774E-3</v>
      </c>
      <c r="N174" s="284">
        <f t="shared" si="159"/>
        <v>32.520000000000003</v>
      </c>
      <c r="O174" s="261">
        <f>VLOOKUP($A174,[1]Planilha!$A$18:$BK$553,60,FALSE)</f>
        <v>32.520000000000003</v>
      </c>
      <c r="P174" s="261">
        <f t="shared" si="122"/>
        <v>0</v>
      </c>
      <c r="Q174" s="284">
        <f t="shared" si="160"/>
        <v>23.38</v>
      </c>
      <c r="R174" s="261">
        <f>VLOOKUP($A174,[1]Planilha!$A$18:$BK$553,51,FALSE)</f>
        <v>23.38</v>
      </c>
      <c r="S174" s="261">
        <f t="shared" si="123"/>
        <v>0</v>
      </c>
      <c r="T174" s="284">
        <f t="shared" si="161"/>
        <v>32.32</v>
      </c>
      <c r="U174" s="261">
        <f>VLOOKUP($A174,[1]Planilha!$A$18:$BK$553,59,FALSE)</f>
        <v>32.32</v>
      </c>
      <c r="V174" s="261">
        <f t="shared" si="124"/>
        <v>0</v>
      </c>
      <c r="W174" s="284">
        <f t="shared" si="139"/>
        <v>23.24</v>
      </c>
      <c r="X174" s="261">
        <f>VLOOKUP($A174,[1]Planilha!$A$18:$BK$553,50,FALSE)</f>
        <v>23.24</v>
      </c>
      <c r="Y174" s="261">
        <f t="shared" si="125"/>
        <v>0</v>
      </c>
      <c r="Z174" s="284">
        <f t="shared" si="140"/>
        <v>32.130000000000003</v>
      </c>
      <c r="AA174" s="261">
        <f>VLOOKUP($A174,[1]Planilha!$A$18:$BK$553,58,FALSE)</f>
        <v>32.130000000000003</v>
      </c>
      <c r="AB174" s="261">
        <f t="shared" si="126"/>
        <v>0</v>
      </c>
      <c r="AC174" s="284">
        <f t="shared" si="141"/>
        <v>21.92</v>
      </c>
      <c r="AD174" s="261">
        <f>VLOOKUP($A174,[1]Planilha!$A$18:$BK$553,49,FALSE)</f>
        <v>21.92</v>
      </c>
      <c r="AE174" s="261">
        <f t="shared" si="127"/>
        <v>0</v>
      </c>
      <c r="AF174" s="285">
        <f t="shared" si="142"/>
        <v>30.3</v>
      </c>
      <c r="AG174" s="261">
        <f>VLOOKUP($A174,[1]Planilha!$A$18:$BK$553,57,FALSE)</f>
        <v>30.3</v>
      </c>
      <c r="AH174" s="261">
        <f t="shared" si="128"/>
        <v>0</v>
      </c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</row>
    <row r="175" spans="1:46">
      <c r="A175" s="688">
        <v>7891721238253</v>
      </c>
      <c r="B175" s="178" t="s">
        <v>41</v>
      </c>
      <c r="C175" s="122" t="s">
        <v>508</v>
      </c>
      <c r="D175" s="317" t="s">
        <v>754</v>
      </c>
      <c r="E175" s="289">
        <f>ROUND(K175*1.025,2)</f>
        <v>17.84</v>
      </c>
      <c r="F175" s="261">
        <f>VLOOKUP($A175,[1]Planilha!$A$18:$BK$553,54,FALSE)</f>
        <v>17.62</v>
      </c>
      <c r="G175" s="261">
        <f t="shared" si="119"/>
        <v>0.21999999999999886</v>
      </c>
      <c r="H175" s="289">
        <f>ROUND(E175/0.723358,2)</f>
        <v>24.66</v>
      </c>
      <c r="I175" s="261">
        <f>VLOOKUP($A175,[1]Planilha!$A$18:$BK$553,62,FALSE)</f>
        <v>24.66</v>
      </c>
      <c r="J175" s="261">
        <f t="shared" si="120"/>
        <v>0</v>
      </c>
      <c r="K175" s="282">
        <f>VLOOKUP(A175,[2]Plan1!$H$2:$J$279,3,FALSE)</f>
        <v>17.403304818454611</v>
      </c>
      <c r="L175" s="261">
        <f>VLOOKUP($A175,[1]Planilha!$A$18:$BK$553,52,FALSE)</f>
        <v>17.399999999999999</v>
      </c>
      <c r="M175" s="261">
        <f t="shared" si="121"/>
        <v>3.3048184546125015E-3</v>
      </c>
      <c r="N175" s="289">
        <f>ROUND(K175/0.723358,2)</f>
        <v>24.06</v>
      </c>
      <c r="O175" s="261">
        <f>VLOOKUP($A175,[1]Planilha!$A$18:$BK$553,60,FALSE)</f>
        <v>24.06</v>
      </c>
      <c r="P175" s="261">
        <f t="shared" si="122"/>
        <v>0</v>
      </c>
      <c r="Q175" s="289">
        <f>ROUND(K175*0.993939,2)</f>
        <v>17.3</v>
      </c>
      <c r="R175" s="261">
        <f>VLOOKUP($A175,[1]Planilha!$A$18:$BK$553,51,FALSE)</f>
        <v>17.3</v>
      </c>
      <c r="S175" s="261">
        <f t="shared" si="123"/>
        <v>0</v>
      </c>
      <c r="T175" s="289">
        <f>ROUND(Q175/0.723358,2)</f>
        <v>23.92</v>
      </c>
      <c r="U175" s="261">
        <f>VLOOKUP($A175,[1]Planilha!$A$18:$BK$553,59,FALSE)</f>
        <v>23.92</v>
      </c>
      <c r="V175" s="261">
        <f t="shared" si="124"/>
        <v>0</v>
      </c>
      <c r="W175" s="289">
        <f t="shared" si="139"/>
        <v>17.190000000000001</v>
      </c>
      <c r="X175" s="261">
        <f>VLOOKUP($A175,[1]Planilha!$A$18:$BK$553,50,FALSE)</f>
        <v>17.190000000000001</v>
      </c>
      <c r="Y175" s="261">
        <f t="shared" si="125"/>
        <v>0</v>
      </c>
      <c r="Z175" s="289">
        <f t="shared" si="140"/>
        <v>23.76</v>
      </c>
      <c r="AA175" s="261">
        <f>VLOOKUP($A175,[1]Planilha!$A$18:$BK$553,58,FALSE)</f>
        <v>23.76</v>
      </c>
      <c r="AB175" s="261">
        <f t="shared" si="126"/>
        <v>0</v>
      </c>
      <c r="AC175" s="289">
        <f t="shared" si="141"/>
        <v>16.22</v>
      </c>
      <c r="AD175" s="261">
        <f>VLOOKUP($A175,[1]Planilha!$A$18:$BK$553,49,FALSE)</f>
        <v>16.22</v>
      </c>
      <c r="AE175" s="261">
        <f t="shared" si="127"/>
        <v>0</v>
      </c>
      <c r="AF175" s="290">
        <f t="shared" si="142"/>
        <v>22.42</v>
      </c>
      <c r="AG175" s="261">
        <f>VLOOKUP($A175,[1]Planilha!$A$18:$BK$553,57,FALSE)</f>
        <v>22.42</v>
      </c>
      <c r="AH175" s="261">
        <f t="shared" si="128"/>
        <v>0</v>
      </c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</row>
    <row r="176" spans="1:46" ht="15">
      <c r="A176" s="687"/>
      <c r="B176" s="137" t="s">
        <v>722</v>
      </c>
      <c r="C176" s="137"/>
      <c r="D176" s="180"/>
      <c r="E176" s="293"/>
      <c r="F176" s="261" t="e">
        <f>VLOOKUP($A176,[1]Planilha!$A$18:$BK$553,54,FALSE)</f>
        <v>#N/A</v>
      </c>
      <c r="G176" s="261" t="e">
        <f t="shared" si="119"/>
        <v>#N/A</v>
      </c>
      <c r="H176" s="294"/>
      <c r="I176" s="261" t="e">
        <f>VLOOKUP($A176,[1]Planilha!$A$18:$BK$553,62,FALSE)</f>
        <v>#N/A</v>
      </c>
      <c r="J176" s="261" t="e">
        <f t="shared" si="120"/>
        <v>#N/A</v>
      </c>
      <c r="K176" s="282"/>
      <c r="L176" s="261" t="e">
        <f>VLOOKUP($A176,[1]Planilha!$A$18:$BK$553,52,FALSE)</f>
        <v>#N/A</v>
      </c>
      <c r="M176" s="261" t="e">
        <f t="shared" si="121"/>
        <v>#N/A</v>
      </c>
      <c r="N176" s="294"/>
      <c r="O176" s="261" t="e">
        <f>VLOOKUP($A176,[1]Planilha!$A$18:$BK$553,60,FALSE)</f>
        <v>#N/A</v>
      </c>
      <c r="P176" s="261" t="e">
        <f t="shared" si="122"/>
        <v>#N/A</v>
      </c>
      <c r="Q176" s="293"/>
      <c r="R176" s="261" t="e">
        <f>VLOOKUP($A176,[1]Planilha!$A$18:$BK$553,51,FALSE)</f>
        <v>#N/A</v>
      </c>
      <c r="S176" s="261" t="e">
        <f t="shared" si="123"/>
        <v>#N/A</v>
      </c>
      <c r="T176" s="294"/>
      <c r="U176" s="261" t="e">
        <f>VLOOKUP($A176,[1]Planilha!$A$18:$BK$553,59,FALSE)</f>
        <v>#N/A</v>
      </c>
      <c r="V176" s="261" t="e">
        <f t="shared" si="124"/>
        <v>#N/A</v>
      </c>
      <c r="W176" s="293"/>
      <c r="X176" s="261" t="e">
        <f>VLOOKUP($A176,[1]Planilha!$A$18:$BK$553,50,FALSE)</f>
        <v>#N/A</v>
      </c>
      <c r="Y176" s="261" t="e">
        <f t="shared" si="125"/>
        <v>#N/A</v>
      </c>
      <c r="Z176" s="294"/>
      <c r="AA176" s="261" t="e">
        <f>VLOOKUP($A176,[1]Planilha!$A$18:$BK$553,58,FALSE)</f>
        <v>#N/A</v>
      </c>
      <c r="AB176" s="261" t="e">
        <f t="shared" si="126"/>
        <v>#N/A</v>
      </c>
      <c r="AC176" s="293"/>
      <c r="AD176" s="261" t="e">
        <f>VLOOKUP($A176,[1]Planilha!$A$18:$BK$553,49,FALSE)</f>
        <v>#N/A</v>
      </c>
      <c r="AE176" s="261" t="e">
        <f t="shared" si="127"/>
        <v>#N/A</v>
      </c>
      <c r="AF176" s="295"/>
      <c r="AG176" s="261" t="e">
        <f>VLOOKUP($A176,[1]Planilha!$A$18:$BK$553,57,FALSE)</f>
        <v>#N/A</v>
      </c>
      <c r="AH176" s="261" t="e">
        <f t="shared" si="128"/>
        <v>#N/A</v>
      </c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</row>
    <row r="177" spans="1:46">
      <c r="A177" s="685">
        <v>7891721022722</v>
      </c>
      <c r="B177" s="175">
        <v>1008903790034</v>
      </c>
      <c r="C177" s="117">
        <v>3227880001</v>
      </c>
      <c r="D177" s="218" t="s">
        <v>714</v>
      </c>
      <c r="E177" s="282">
        <f>K177</f>
        <v>6.6491368438591865</v>
      </c>
      <c r="F177" s="261">
        <f>VLOOKUP($A177,[1]Planilha!$A$18:$BK$553,54,FALSE)</f>
        <v>6.73</v>
      </c>
      <c r="G177" s="261">
        <f t="shared" si="119"/>
        <v>-8.0863156140813963E-2</v>
      </c>
      <c r="H177" s="282">
        <f>N177</f>
        <v>9.19</v>
      </c>
      <c r="I177" s="261">
        <f>VLOOKUP($A177,[1]Planilha!$A$18:$BK$553,62,FALSE)</f>
        <v>9.43</v>
      </c>
      <c r="J177" s="261">
        <f t="shared" si="120"/>
        <v>-0.24000000000000021</v>
      </c>
      <c r="K177" s="282">
        <f>VLOOKUP(A177,[2]Plan1!$H$2:$J$279,3,FALSE)</f>
        <v>6.6491368438591865</v>
      </c>
      <c r="L177" s="261">
        <f>VLOOKUP($A177,[1]Planilha!$A$18:$BK$553,52,FALSE)</f>
        <v>6.65</v>
      </c>
      <c r="M177" s="261">
        <f t="shared" si="121"/>
        <v>-8.6315614081389214E-4</v>
      </c>
      <c r="N177" s="282">
        <f t="shared" ref="N177:N178" si="162">ROUND(K177/0.723358,2)</f>
        <v>9.19</v>
      </c>
      <c r="O177" s="261">
        <f>VLOOKUP($A177,[1]Planilha!$A$18:$BK$553,60,FALSE)</f>
        <v>9.19</v>
      </c>
      <c r="P177" s="261">
        <f t="shared" si="122"/>
        <v>0</v>
      </c>
      <c r="Q177" s="282">
        <f t="shared" ref="Q177:Q178" si="163">ROUND(K177*0.993939,2)</f>
        <v>6.61</v>
      </c>
      <c r="R177" s="261">
        <f>VLOOKUP($A177,[1]Planilha!$A$18:$BK$553,51,FALSE)</f>
        <v>6.61</v>
      </c>
      <c r="S177" s="261">
        <f t="shared" si="123"/>
        <v>0</v>
      </c>
      <c r="T177" s="282">
        <f t="shared" ref="T177:T178" si="164">ROUND(Q177/0.723358,2)</f>
        <v>9.14</v>
      </c>
      <c r="U177" s="261">
        <f>VLOOKUP($A177,[1]Planilha!$A$18:$BK$553,59,FALSE)</f>
        <v>9.14</v>
      </c>
      <c r="V177" s="261">
        <f t="shared" si="124"/>
        <v>0</v>
      </c>
      <c r="W177" s="282">
        <f t="shared" si="139"/>
        <v>6.57</v>
      </c>
      <c r="X177" s="261">
        <f>VLOOKUP($A177,[1]Planilha!$A$18:$BK$553,50,FALSE)</f>
        <v>6.57</v>
      </c>
      <c r="Y177" s="261">
        <f t="shared" si="125"/>
        <v>0</v>
      </c>
      <c r="Z177" s="282">
        <f t="shared" si="140"/>
        <v>9.08</v>
      </c>
      <c r="AA177" s="261">
        <f>VLOOKUP($A177,[1]Planilha!$A$18:$BK$553,58,FALSE)</f>
        <v>9.08</v>
      </c>
      <c r="AB177" s="261">
        <f t="shared" si="126"/>
        <v>0</v>
      </c>
      <c r="AC177" s="282">
        <f t="shared" si="141"/>
        <v>6.2</v>
      </c>
      <c r="AD177" s="261">
        <f>VLOOKUP($A177,[1]Planilha!$A$18:$BK$553,49,FALSE)</f>
        <v>6.2</v>
      </c>
      <c r="AE177" s="261">
        <f t="shared" si="127"/>
        <v>0</v>
      </c>
      <c r="AF177" s="283">
        <f t="shared" si="142"/>
        <v>8.57</v>
      </c>
      <c r="AG177" s="261">
        <f>VLOOKUP($A177,[1]Planilha!$A$18:$BK$553,57,FALSE)</f>
        <v>8.57</v>
      </c>
      <c r="AH177" s="261">
        <f t="shared" si="128"/>
        <v>0</v>
      </c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</row>
    <row r="178" spans="1:46">
      <c r="A178" s="688">
        <v>7891721025334</v>
      </c>
      <c r="B178" s="178">
        <v>1008903790123</v>
      </c>
      <c r="C178" s="122">
        <v>3227900001</v>
      </c>
      <c r="D178" s="317" t="s">
        <v>715</v>
      </c>
      <c r="E178" s="289">
        <f>ROUND(K178*1.025,2)</f>
        <v>13.54</v>
      </c>
      <c r="F178" s="261">
        <f>VLOOKUP($A178,[1]Planilha!$A$18:$BK$553,54,FALSE)</f>
        <v>13.37</v>
      </c>
      <c r="G178" s="261">
        <f t="shared" si="119"/>
        <v>0.16999999999999993</v>
      </c>
      <c r="H178" s="289">
        <f>ROUND(E178/0.723358,2)</f>
        <v>18.72</v>
      </c>
      <c r="I178" s="261">
        <f>VLOOKUP($A178,[1]Planilha!$A$18:$BK$553,62,FALSE)</f>
        <v>18.72</v>
      </c>
      <c r="J178" s="261">
        <f t="shared" si="120"/>
        <v>0</v>
      </c>
      <c r="K178" s="282">
        <f>VLOOKUP(A178,[2]Plan1!$H$2:$J$279,3,FALSE)</f>
        <v>13.207050773702012</v>
      </c>
      <c r="L178" s="261">
        <f>VLOOKUP($A178,[1]Planilha!$A$18:$BK$553,52,FALSE)</f>
        <v>13.21</v>
      </c>
      <c r="M178" s="261">
        <f t="shared" si="121"/>
        <v>-2.9492262979893269E-3</v>
      </c>
      <c r="N178" s="289">
        <f t="shared" si="162"/>
        <v>18.260000000000002</v>
      </c>
      <c r="O178" s="261">
        <f>VLOOKUP($A178,[1]Planilha!$A$18:$BK$553,60,FALSE)</f>
        <v>18.260000000000002</v>
      </c>
      <c r="P178" s="261">
        <f t="shared" si="122"/>
        <v>0</v>
      </c>
      <c r="Q178" s="289">
        <f t="shared" si="163"/>
        <v>13.13</v>
      </c>
      <c r="R178" s="261">
        <f>VLOOKUP($A178,[1]Planilha!$A$18:$BK$553,51,FALSE)</f>
        <v>13.13</v>
      </c>
      <c r="S178" s="261">
        <f t="shared" si="123"/>
        <v>0</v>
      </c>
      <c r="T178" s="289">
        <f t="shared" si="164"/>
        <v>18.149999999999999</v>
      </c>
      <c r="U178" s="261">
        <f>VLOOKUP($A178,[1]Planilha!$A$18:$BK$553,59,FALSE)</f>
        <v>18.149999999999999</v>
      </c>
      <c r="V178" s="261">
        <f t="shared" si="124"/>
        <v>0</v>
      </c>
      <c r="W178" s="289">
        <f t="shared" si="139"/>
        <v>13.05</v>
      </c>
      <c r="X178" s="261">
        <f>VLOOKUP($A178,[1]Planilha!$A$18:$BK$553,50,FALSE)</f>
        <v>13.05</v>
      </c>
      <c r="Y178" s="261">
        <f t="shared" si="125"/>
        <v>0</v>
      </c>
      <c r="Z178" s="289">
        <f t="shared" si="140"/>
        <v>18.04</v>
      </c>
      <c r="AA178" s="261">
        <f>VLOOKUP($A178,[1]Planilha!$A$18:$BK$553,58,FALSE)</f>
        <v>18.04</v>
      </c>
      <c r="AB178" s="261">
        <f t="shared" si="126"/>
        <v>0</v>
      </c>
      <c r="AC178" s="289">
        <f t="shared" si="141"/>
        <v>12.31</v>
      </c>
      <c r="AD178" s="261">
        <f>VLOOKUP($A178,[1]Planilha!$A$18:$BK$553,49,FALSE)</f>
        <v>12.31</v>
      </c>
      <c r="AE178" s="261">
        <f t="shared" si="127"/>
        <v>0</v>
      </c>
      <c r="AF178" s="290">
        <f t="shared" si="142"/>
        <v>17.02</v>
      </c>
      <c r="AG178" s="261">
        <f>VLOOKUP($A178,[1]Planilha!$A$18:$BK$553,57,FALSE)</f>
        <v>17.02</v>
      </c>
      <c r="AH178" s="261">
        <f t="shared" si="128"/>
        <v>0</v>
      </c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</row>
    <row r="179" spans="1:46" ht="15">
      <c r="A179" s="687"/>
      <c r="B179" s="137" t="s">
        <v>333</v>
      </c>
      <c r="C179" s="137"/>
      <c r="D179" s="180"/>
      <c r="E179" s="296"/>
      <c r="F179" s="261" t="e">
        <f>VLOOKUP($A179,[1]Planilha!$A$18:$BK$553,54,FALSE)</f>
        <v>#N/A</v>
      </c>
      <c r="G179" s="261" t="e">
        <f t="shared" si="119"/>
        <v>#N/A</v>
      </c>
      <c r="H179" s="300"/>
      <c r="I179" s="261" t="e">
        <f>VLOOKUP($A179,[1]Planilha!$A$18:$BK$553,62,FALSE)</f>
        <v>#N/A</v>
      </c>
      <c r="J179" s="261" t="e">
        <f t="shared" si="120"/>
        <v>#N/A</v>
      </c>
      <c r="K179" s="282"/>
      <c r="L179" s="261" t="e">
        <f>VLOOKUP($A179,[1]Planilha!$A$18:$BK$553,52,FALSE)</f>
        <v>#N/A</v>
      </c>
      <c r="M179" s="261" t="e">
        <f t="shared" si="121"/>
        <v>#N/A</v>
      </c>
      <c r="N179" s="300"/>
      <c r="O179" s="261" t="e">
        <f>VLOOKUP($A179,[1]Planilha!$A$18:$BK$553,60,FALSE)</f>
        <v>#N/A</v>
      </c>
      <c r="P179" s="261" t="e">
        <f t="shared" si="122"/>
        <v>#N/A</v>
      </c>
      <c r="Q179" s="296"/>
      <c r="R179" s="261" t="e">
        <f>VLOOKUP($A179,[1]Planilha!$A$18:$BK$553,51,FALSE)</f>
        <v>#N/A</v>
      </c>
      <c r="S179" s="261" t="e">
        <f t="shared" si="123"/>
        <v>#N/A</v>
      </c>
      <c r="T179" s="300"/>
      <c r="U179" s="261" t="e">
        <f>VLOOKUP($A179,[1]Planilha!$A$18:$BK$553,59,FALSE)</f>
        <v>#N/A</v>
      </c>
      <c r="V179" s="261" t="e">
        <f t="shared" si="124"/>
        <v>#N/A</v>
      </c>
      <c r="W179" s="296"/>
      <c r="X179" s="261" t="e">
        <f>VLOOKUP($A179,[1]Planilha!$A$18:$BK$553,50,FALSE)</f>
        <v>#N/A</v>
      </c>
      <c r="Y179" s="261" t="e">
        <f t="shared" si="125"/>
        <v>#N/A</v>
      </c>
      <c r="Z179" s="300"/>
      <c r="AA179" s="261" t="e">
        <f>VLOOKUP($A179,[1]Planilha!$A$18:$BK$553,58,FALSE)</f>
        <v>#N/A</v>
      </c>
      <c r="AB179" s="261" t="e">
        <f t="shared" si="126"/>
        <v>#N/A</v>
      </c>
      <c r="AC179" s="296"/>
      <c r="AD179" s="261" t="e">
        <f>VLOOKUP($A179,[1]Planilha!$A$18:$BK$553,49,FALSE)</f>
        <v>#N/A</v>
      </c>
      <c r="AE179" s="261" t="e">
        <f t="shared" si="127"/>
        <v>#N/A</v>
      </c>
      <c r="AF179" s="301"/>
      <c r="AG179" s="261" t="e">
        <f>VLOOKUP($A179,[1]Planilha!$A$18:$BK$553,57,FALSE)</f>
        <v>#N/A</v>
      </c>
      <c r="AH179" s="261" t="e">
        <f t="shared" si="128"/>
        <v>#N/A</v>
      </c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</row>
    <row r="180" spans="1:46">
      <c r="A180" s="229">
        <v>7891721274206</v>
      </c>
      <c r="B180" s="175" t="s">
        <v>66</v>
      </c>
      <c r="C180" s="122" t="s">
        <v>406</v>
      </c>
      <c r="D180" s="94" t="s">
        <v>334</v>
      </c>
      <c r="E180" s="289">
        <f>ROUND(K180*1.025,2)</f>
        <v>103.68</v>
      </c>
      <c r="F180" s="261">
        <f>VLOOKUP($A180,[1]Planilha!$A$18:$BK$553,54,FALSE)</f>
        <v>102.4</v>
      </c>
      <c r="G180" s="261">
        <f t="shared" si="119"/>
        <v>1.2800000000000011</v>
      </c>
      <c r="H180" s="289">
        <f>ROUND(E180/0.723358,2)</f>
        <v>143.33000000000001</v>
      </c>
      <c r="I180" s="261">
        <f>VLOOKUP($A180,[1]Planilha!$A$18:$BK$553,62,FALSE)</f>
        <v>143.33000000000001</v>
      </c>
      <c r="J180" s="261">
        <f t="shared" si="120"/>
        <v>0</v>
      </c>
      <c r="K180" s="282">
        <f>VLOOKUP(A180,[2]Plan1!$H$2:$J$279,3,FALSE)</f>
        <v>101.15509086021999</v>
      </c>
      <c r="L180" s="261">
        <f>VLOOKUP($A180,[1]Planilha!$A$18:$BK$553,52,FALSE)</f>
        <v>101.16</v>
      </c>
      <c r="M180" s="261">
        <f t="shared" si="121"/>
        <v>-4.9091397800111736E-3</v>
      </c>
      <c r="N180" s="289">
        <f t="shared" ref="N180" si="165">ROUND(K180/0.723358,2)</f>
        <v>139.84</v>
      </c>
      <c r="O180" s="261">
        <f>VLOOKUP($A180,[1]Planilha!$A$18:$BK$553,60,FALSE)</f>
        <v>139.84</v>
      </c>
      <c r="P180" s="261">
        <f t="shared" si="122"/>
        <v>0</v>
      </c>
      <c r="Q180" s="289">
        <f t="shared" ref="Q180" si="166">ROUND(K180*0.993939,2)</f>
        <v>100.54</v>
      </c>
      <c r="R180" s="261">
        <f>VLOOKUP($A180,[1]Planilha!$A$18:$BK$553,51,FALSE)</f>
        <v>100.54</v>
      </c>
      <c r="S180" s="261">
        <f t="shared" si="123"/>
        <v>0</v>
      </c>
      <c r="T180" s="289">
        <f t="shared" ref="T180" si="167">ROUND(Q180/0.723358,2)</f>
        <v>138.99</v>
      </c>
      <c r="U180" s="261">
        <f>VLOOKUP($A180,[1]Planilha!$A$18:$BK$553,59,FALSE)</f>
        <v>138.99</v>
      </c>
      <c r="V180" s="261">
        <f t="shared" si="124"/>
        <v>0</v>
      </c>
      <c r="W180" s="289">
        <f t="shared" si="139"/>
        <v>99.94</v>
      </c>
      <c r="X180" s="261">
        <f>VLOOKUP($A180,[1]Planilha!$A$18:$BK$553,50,FALSE)</f>
        <v>99.94</v>
      </c>
      <c r="Y180" s="261">
        <f t="shared" si="125"/>
        <v>0</v>
      </c>
      <c r="Z180" s="289">
        <f t="shared" si="140"/>
        <v>138.16</v>
      </c>
      <c r="AA180" s="261">
        <f>VLOOKUP($A180,[1]Planilha!$A$18:$BK$553,58,FALSE)</f>
        <v>138.16</v>
      </c>
      <c r="AB180" s="261">
        <f t="shared" si="126"/>
        <v>0</v>
      </c>
      <c r="AC180" s="289">
        <f t="shared" si="141"/>
        <v>94.26</v>
      </c>
      <c r="AD180" s="261">
        <f>VLOOKUP($A180,[1]Planilha!$A$18:$BK$553,49,FALSE)</f>
        <v>94.26</v>
      </c>
      <c r="AE180" s="261">
        <f t="shared" si="127"/>
        <v>0</v>
      </c>
      <c r="AF180" s="290">
        <f t="shared" si="142"/>
        <v>130.31</v>
      </c>
      <c r="AG180" s="261">
        <f>VLOOKUP($A180,[1]Planilha!$A$18:$BK$553,57,FALSE)</f>
        <v>130.31</v>
      </c>
      <c r="AH180" s="261">
        <f t="shared" si="128"/>
        <v>0</v>
      </c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</row>
    <row r="181" spans="1:46" ht="15">
      <c r="A181" s="684"/>
      <c r="B181" s="114" t="s">
        <v>672</v>
      </c>
      <c r="C181" s="114"/>
      <c r="D181" s="104"/>
      <c r="E181" s="297"/>
      <c r="F181" s="261" t="e">
        <f>VLOOKUP($A181,[1]Planilha!$A$18:$BK$553,54,FALSE)</f>
        <v>#N/A</v>
      </c>
      <c r="G181" s="261" t="e">
        <f t="shared" si="119"/>
        <v>#N/A</v>
      </c>
      <c r="H181" s="298"/>
      <c r="I181" s="261" t="e">
        <f>VLOOKUP($A181,[1]Planilha!$A$18:$BK$553,62,FALSE)</f>
        <v>#N/A</v>
      </c>
      <c r="J181" s="261" t="e">
        <f t="shared" si="120"/>
        <v>#N/A</v>
      </c>
      <c r="K181" s="282"/>
      <c r="L181" s="261" t="e">
        <f>VLOOKUP($A181,[1]Planilha!$A$18:$BK$553,52,FALSE)</f>
        <v>#N/A</v>
      </c>
      <c r="M181" s="261" t="e">
        <f t="shared" si="121"/>
        <v>#N/A</v>
      </c>
      <c r="N181" s="298"/>
      <c r="O181" s="261" t="e">
        <f>VLOOKUP($A181,[1]Planilha!$A$18:$BK$553,60,FALSE)</f>
        <v>#N/A</v>
      </c>
      <c r="P181" s="261" t="e">
        <f t="shared" si="122"/>
        <v>#N/A</v>
      </c>
      <c r="Q181" s="297"/>
      <c r="R181" s="261" t="e">
        <f>VLOOKUP($A181,[1]Planilha!$A$18:$BK$553,51,FALSE)</f>
        <v>#N/A</v>
      </c>
      <c r="S181" s="261" t="e">
        <f t="shared" si="123"/>
        <v>#N/A</v>
      </c>
      <c r="T181" s="298"/>
      <c r="U181" s="261" t="e">
        <f>VLOOKUP($A181,[1]Planilha!$A$18:$BK$553,59,FALSE)</f>
        <v>#N/A</v>
      </c>
      <c r="V181" s="261" t="e">
        <f t="shared" si="124"/>
        <v>#N/A</v>
      </c>
      <c r="W181" s="297"/>
      <c r="X181" s="261" t="e">
        <f>VLOOKUP($A181,[1]Planilha!$A$18:$BK$553,50,FALSE)</f>
        <v>#N/A</v>
      </c>
      <c r="Y181" s="261" t="e">
        <f t="shared" si="125"/>
        <v>#N/A</v>
      </c>
      <c r="Z181" s="298"/>
      <c r="AA181" s="261" t="e">
        <f>VLOOKUP($A181,[1]Planilha!$A$18:$BK$553,58,FALSE)</f>
        <v>#N/A</v>
      </c>
      <c r="AB181" s="261" t="e">
        <f t="shared" si="126"/>
        <v>#N/A</v>
      </c>
      <c r="AC181" s="297"/>
      <c r="AD181" s="261" t="e">
        <f>VLOOKUP($A181,[1]Planilha!$A$18:$BK$553,49,FALSE)</f>
        <v>#N/A</v>
      </c>
      <c r="AE181" s="261" t="e">
        <f t="shared" si="127"/>
        <v>#N/A</v>
      </c>
      <c r="AF181" s="299"/>
      <c r="AG181" s="261" t="e">
        <f>VLOOKUP($A181,[1]Planilha!$A$18:$BK$553,57,FALSE)</f>
        <v>#N/A</v>
      </c>
      <c r="AH181" s="261" t="e">
        <f t="shared" si="128"/>
        <v>#N/A</v>
      </c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</row>
    <row r="182" spans="1:46">
      <c r="A182" s="686">
        <v>7891721200472</v>
      </c>
      <c r="B182" s="312">
        <v>1008903240042</v>
      </c>
      <c r="C182" s="135" t="s">
        <v>673</v>
      </c>
      <c r="D182" s="318" t="s">
        <v>674</v>
      </c>
      <c r="E182" s="319">
        <f>ROUND(K182*1.025,2)</f>
        <v>57.92</v>
      </c>
      <c r="F182" s="261">
        <f>VLOOKUP($A182,[1]Planilha!$A$18:$BK$553,54,FALSE)</f>
        <v>57.2</v>
      </c>
      <c r="G182" s="261">
        <f t="shared" si="119"/>
        <v>0.71999999999999886</v>
      </c>
      <c r="H182" s="319">
        <f>ROUND(E182/0.723358,2)</f>
        <v>80.069999999999993</v>
      </c>
      <c r="I182" s="261">
        <f>VLOOKUP($A182,[1]Planilha!$A$18:$BK$553,62,FALSE)</f>
        <v>80.069999999999993</v>
      </c>
      <c r="J182" s="261">
        <f t="shared" si="120"/>
        <v>0</v>
      </c>
      <c r="K182" s="282">
        <f>VLOOKUP(A182,[2]Plan1!$H$2:$J$279,3,FALSE)</f>
        <v>56.506893133805569</v>
      </c>
      <c r="L182" s="261">
        <f>VLOOKUP($A182,[1]Planilha!$A$18:$BK$553,52,FALSE)</f>
        <v>56.51</v>
      </c>
      <c r="M182" s="261">
        <f t="shared" si="121"/>
        <v>-3.1068661944289033E-3</v>
      </c>
      <c r="N182" s="319">
        <f>ROUND(K182/0.723358,2)</f>
        <v>78.12</v>
      </c>
      <c r="O182" s="261">
        <f>VLOOKUP($A182,[1]Planilha!$A$18:$BK$553,60,FALSE)</f>
        <v>78.12</v>
      </c>
      <c r="P182" s="261">
        <f t="shared" si="122"/>
        <v>0</v>
      </c>
      <c r="Q182" s="319">
        <f>ROUND(K182*0.993939,2)</f>
        <v>56.16</v>
      </c>
      <c r="R182" s="261">
        <f>VLOOKUP($A182,[1]Planilha!$A$18:$BK$553,51,FALSE)</f>
        <v>56.16</v>
      </c>
      <c r="S182" s="261">
        <f t="shared" si="123"/>
        <v>0</v>
      </c>
      <c r="T182" s="319">
        <f>ROUND(Q182/0.723358,2)</f>
        <v>77.64</v>
      </c>
      <c r="U182" s="261">
        <f>VLOOKUP($A182,[1]Planilha!$A$18:$BK$553,59,FALSE)</f>
        <v>77.64</v>
      </c>
      <c r="V182" s="261">
        <f t="shared" si="124"/>
        <v>0</v>
      </c>
      <c r="W182" s="319">
        <f t="shared" si="139"/>
        <v>55.83</v>
      </c>
      <c r="X182" s="261">
        <f>VLOOKUP($A182,[1]Planilha!$A$18:$BK$553,50,FALSE)</f>
        <v>55.83</v>
      </c>
      <c r="Y182" s="261">
        <f t="shared" si="125"/>
        <v>0</v>
      </c>
      <c r="Z182" s="319">
        <f t="shared" si="140"/>
        <v>77.180000000000007</v>
      </c>
      <c r="AA182" s="261">
        <f>VLOOKUP($A182,[1]Planilha!$A$18:$BK$553,58,FALSE)</f>
        <v>77.180000000000007</v>
      </c>
      <c r="AB182" s="261">
        <f t="shared" si="126"/>
        <v>0</v>
      </c>
      <c r="AC182" s="319">
        <f t="shared" si="141"/>
        <v>52.65</v>
      </c>
      <c r="AD182" s="261">
        <f>VLOOKUP($A182,[1]Planilha!$A$18:$BK$553,49,FALSE)</f>
        <v>52.65</v>
      </c>
      <c r="AE182" s="261">
        <f t="shared" si="127"/>
        <v>0</v>
      </c>
      <c r="AF182" s="320">
        <f t="shared" si="142"/>
        <v>72.790000000000006</v>
      </c>
      <c r="AG182" s="261">
        <f>VLOOKUP($A182,[1]Planilha!$A$18:$BK$553,57,FALSE)</f>
        <v>72.790000000000006</v>
      </c>
      <c r="AH182" s="261">
        <f t="shared" si="128"/>
        <v>0</v>
      </c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</row>
    <row r="183" spans="1:46" ht="15">
      <c r="A183" s="687"/>
      <c r="B183" s="137" t="s">
        <v>335</v>
      </c>
      <c r="C183" s="137"/>
      <c r="D183" s="180"/>
      <c r="E183" s="293"/>
      <c r="F183" s="261" t="e">
        <f>VLOOKUP($A183,[1]Planilha!$A$18:$BK$553,54,FALSE)</f>
        <v>#N/A</v>
      </c>
      <c r="G183" s="261" t="e">
        <f t="shared" si="119"/>
        <v>#N/A</v>
      </c>
      <c r="H183" s="294"/>
      <c r="I183" s="261" t="e">
        <f>VLOOKUP($A183,[1]Planilha!$A$18:$BK$553,62,FALSE)</f>
        <v>#N/A</v>
      </c>
      <c r="J183" s="261" t="e">
        <f t="shared" si="120"/>
        <v>#N/A</v>
      </c>
      <c r="K183" s="282"/>
      <c r="L183" s="261" t="e">
        <f>VLOOKUP($A183,[1]Planilha!$A$18:$BK$553,52,FALSE)</f>
        <v>#N/A</v>
      </c>
      <c r="M183" s="261" t="e">
        <f t="shared" si="121"/>
        <v>#N/A</v>
      </c>
      <c r="N183" s="294"/>
      <c r="O183" s="261" t="e">
        <f>VLOOKUP($A183,[1]Planilha!$A$18:$BK$553,60,FALSE)</f>
        <v>#N/A</v>
      </c>
      <c r="P183" s="261" t="e">
        <f t="shared" si="122"/>
        <v>#N/A</v>
      </c>
      <c r="Q183" s="293"/>
      <c r="R183" s="261" t="e">
        <f>VLOOKUP($A183,[1]Planilha!$A$18:$BK$553,51,FALSE)</f>
        <v>#N/A</v>
      </c>
      <c r="S183" s="261" t="e">
        <f t="shared" si="123"/>
        <v>#N/A</v>
      </c>
      <c r="T183" s="294"/>
      <c r="U183" s="261" t="e">
        <f>VLOOKUP($A183,[1]Planilha!$A$18:$BK$553,59,FALSE)</f>
        <v>#N/A</v>
      </c>
      <c r="V183" s="261" t="e">
        <f t="shared" si="124"/>
        <v>#N/A</v>
      </c>
      <c r="W183" s="293"/>
      <c r="X183" s="261" t="e">
        <f>VLOOKUP($A183,[1]Planilha!$A$18:$BK$553,50,FALSE)</f>
        <v>#N/A</v>
      </c>
      <c r="Y183" s="261" t="e">
        <f t="shared" si="125"/>
        <v>#N/A</v>
      </c>
      <c r="Z183" s="294"/>
      <c r="AA183" s="261" t="e">
        <f>VLOOKUP($A183,[1]Planilha!$A$18:$BK$553,58,FALSE)</f>
        <v>#N/A</v>
      </c>
      <c r="AB183" s="261" t="e">
        <f t="shared" si="126"/>
        <v>#N/A</v>
      </c>
      <c r="AC183" s="293"/>
      <c r="AD183" s="261" t="e">
        <f>VLOOKUP($A183,[1]Planilha!$A$18:$BK$553,49,FALSE)</f>
        <v>#N/A</v>
      </c>
      <c r="AE183" s="261" t="e">
        <f t="shared" si="127"/>
        <v>#N/A</v>
      </c>
      <c r="AF183" s="295"/>
      <c r="AG183" s="261" t="e">
        <f>VLOOKUP($A183,[1]Planilha!$A$18:$BK$553,57,FALSE)</f>
        <v>#N/A</v>
      </c>
      <c r="AH183" s="261" t="e">
        <f t="shared" si="128"/>
        <v>#N/A</v>
      </c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</row>
    <row r="184" spans="1:46">
      <c r="A184" s="686">
        <v>7891721023521</v>
      </c>
      <c r="B184" s="312" t="s">
        <v>42</v>
      </c>
      <c r="C184" s="135" t="s">
        <v>552</v>
      </c>
      <c r="D184" s="321" t="s">
        <v>336</v>
      </c>
      <c r="E184" s="280">
        <f>ROUND(K184*1.025,2)</f>
        <v>53.74</v>
      </c>
      <c r="F184" s="261">
        <f>VLOOKUP($A184,[1]Planilha!$A$18:$BK$553,54,FALSE)</f>
        <v>53.07</v>
      </c>
      <c r="G184" s="261">
        <f t="shared" si="119"/>
        <v>0.67000000000000171</v>
      </c>
      <c r="H184" s="280">
        <f>ROUND(E184/0.723358,2)</f>
        <v>74.290000000000006</v>
      </c>
      <c r="I184" s="261">
        <f>VLOOKUP($A184,[1]Planilha!$A$18:$BK$553,62,FALSE)</f>
        <v>74.290000000000006</v>
      </c>
      <c r="J184" s="261">
        <f t="shared" si="120"/>
        <v>0</v>
      </c>
      <c r="K184" s="282">
        <f>VLOOKUP(A184,[2]Plan1!$H$2:$J$279,3,FALSE)</f>
        <v>52.426008177914156</v>
      </c>
      <c r="L184" s="261">
        <f>VLOOKUP($A184,[1]Planilha!$A$18:$BK$553,52,FALSE)</f>
        <v>52.43</v>
      </c>
      <c r="M184" s="261">
        <f t="shared" si="121"/>
        <v>-3.9918220858439213E-3</v>
      </c>
      <c r="N184" s="280">
        <f>ROUND(K184/0.723358,2)</f>
        <v>72.48</v>
      </c>
      <c r="O184" s="261">
        <f>VLOOKUP($A184,[1]Planilha!$A$18:$BK$553,60,FALSE)</f>
        <v>72.48</v>
      </c>
      <c r="P184" s="261">
        <f t="shared" si="122"/>
        <v>0</v>
      </c>
      <c r="Q184" s="280">
        <f>ROUND(K184*0.993939,2)</f>
        <v>52.11</v>
      </c>
      <c r="R184" s="261">
        <f>VLOOKUP($A184,[1]Planilha!$A$18:$BK$553,51,FALSE)</f>
        <v>52.11</v>
      </c>
      <c r="S184" s="261">
        <f t="shared" si="123"/>
        <v>0</v>
      </c>
      <c r="T184" s="280">
        <f>ROUND(Q184/0.723358,2)</f>
        <v>72.040000000000006</v>
      </c>
      <c r="U184" s="261">
        <f>VLOOKUP($A184,[1]Planilha!$A$18:$BK$553,59,FALSE)</f>
        <v>72.040000000000006</v>
      </c>
      <c r="V184" s="261">
        <f t="shared" si="124"/>
        <v>0</v>
      </c>
      <c r="W184" s="280">
        <f t="shared" si="139"/>
        <v>51.79</v>
      </c>
      <c r="X184" s="261">
        <f>VLOOKUP($A184,[1]Planilha!$A$18:$BK$553,50,FALSE)</f>
        <v>51.79</v>
      </c>
      <c r="Y184" s="261">
        <f t="shared" si="125"/>
        <v>0</v>
      </c>
      <c r="Z184" s="280">
        <f t="shared" si="140"/>
        <v>71.599999999999994</v>
      </c>
      <c r="AA184" s="261">
        <f>VLOOKUP($A184,[1]Planilha!$A$18:$BK$553,58,FALSE)</f>
        <v>71.599999999999994</v>
      </c>
      <c r="AB184" s="261">
        <f t="shared" si="126"/>
        <v>0</v>
      </c>
      <c r="AC184" s="280">
        <f t="shared" si="141"/>
        <v>48.85</v>
      </c>
      <c r="AD184" s="261">
        <f>VLOOKUP($A184,[1]Planilha!$A$18:$BK$553,49,FALSE)</f>
        <v>48.85</v>
      </c>
      <c r="AE184" s="261">
        <f t="shared" si="127"/>
        <v>0</v>
      </c>
      <c r="AF184" s="281">
        <f t="shared" si="142"/>
        <v>67.53</v>
      </c>
      <c r="AG184" s="261">
        <f>VLOOKUP($A184,[1]Planilha!$A$18:$BK$553,57,FALSE)</f>
        <v>67.53</v>
      </c>
      <c r="AH184" s="261">
        <f t="shared" si="128"/>
        <v>0</v>
      </c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</row>
    <row r="185" spans="1:46" ht="15">
      <c r="A185" s="687"/>
      <c r="B185" s="137" t="s">
        <v>337</v>
      </c>
      <c r="C185" s="137"/>
      <c r="D185" s="180"/>
      <c r="E185" s="293"/>
      <c r="F185" s="261" t="e">
        <f>VLOOKUP($A185,[1]Planilha!$A$18:$BK$553,54,FALSE)</f>
        <v>#N/A</v>
      </c>
      <c r="G185" s="261" t="e">
        <f t="shared" si="119"/>
        <v>#N/A</v>
      </c>
      <c r="H185" s="294"/>
      <c r="I185" s="261" t="e">
        <f>VLOOKUP($A185,[1]Planilha!$A$18:$BK$553,62,FALSE)</f>
        <v>#N/A</v>
      </c>
      <c r="J185" s="261" t="e">
        <f t="shared" si="120"/>
        <v>#N/A</v>
      </c>
      <c r="K185" s="282"/>
      <c r="L185" s="261" t="e">
        <f>VLOOKUP($A185,[1]Planilha!$A$18:$BK$553,52,FALSE)</f>
        <v>#N/A</v>
      </c>
      <c r="M185" s="261" t="e">
        <f t="shared" si="121"/>
        <v>#N/A</v>
      </c>
      <c r="N185" s="294"/>
      <c r="O185" s="261" t="e">
        <f>VLOOKUP($A185,[1]Planilha!$A$18:$BK$553,60,FALSE)</f>
        <v>#N/A</v>
      </c>
      <c r="P185" s="261" t="e">
        <f t="shared" si="122"/>
        <v>#N/A</v>
      </c>
      <c r="Q185" s="293"/>
      <c r="R185" s="261" t="e">
        <f>VLOOKUP($A185,[1]Planilha!$A$18:$BK$553,51,FALSE)</f>
        <v>#N/A</v>
      </c>
      <c r="S185" s="261" t="e">
        <f t="shared" si="123"/>
        <v>#N/A</v>
      </c>
      <c r="T185" s="294"/>
      <c r="U185" s="261" t="e">
        <f>VLOOKUP($A185,[1]Planilha!$A$18:$BK$553,59,FALSE)</f>
        <v>#N/A</v>
      </c>
      <c r="V185" s="261" t="e">
        <f t="shared" si="124"/>
        <v>#N/A</v>
      </c>
      <c r="W185" s="293"/>
      <c r="X185" s="261" t="e">
        <f>VLOOKUP($A185,[1]Planilha!$A$18:$BK$553,50,FALSE)</f>
        <v>#N/A</v>
      </c>
      <c r="Y185" s="261" t="e">
        <f t="shared" si="125"/>
        <v>#N/A</v>
      </c>
      <c r="Z185" s="294"/>
      <c r="AA185" s="261" t="e">
        <f>VLOOKUP($A185,[1]Planilha!$A$18:$BK$553,58,FALSE)</f>
        <v>#N/A</v>
      </c>
      <c r="AB185" s="261" t="e">
        <f t="shared" si="126"/>
        <v>#N/A</v>
      </c>
      <c r="AC185" s="293"/>
      <c r="AD185" s="261" t="e">
        <f>VLOOKUP($A185,[1]Planilha!$A$18:$BK$553,49,FALSE)</f>
        <v>#N/A</v>
      </c>
      <c r="AE185" s="261" t="e">
        <f t="shared" si="127"/>
        <v>#N/A</v>
      </c>
      <c r="AF185" s="295"/>
      <c r="AG185" s="261" t="e">
        <f>VLOOKUP($A185,[1]Planilha!$A$18:$BK$553,57,FALSE)</f>
        <v>#N/A</v>
      </c>
      <c r="AH185" s="261" t="e">
        <f t="shared" si="128"/>
        <v>#N/A</v>
      </c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</row>
    <row r="186" spans="1:46">
      <c r="A186" s="229">
        <v>7891721023514</v>
      </c>
      <c r="B186" s="175" t="s">
        <v>43</v>
      </c>
      <c r="C186" s="135" t="s">
        <v>554</v>
      </c>
      <c r="D186" s="94" t="s">
        <v>338</v>
      </c>
      <c r="E186" s="280">
        <f>ROUND(K186*1.025,2)</f>
        <v>47.92</v>
      </c>
      <c r="F186" s="261">
        <f>VLOOKUP($A186,[1]Planilha!$A$18:$BK$553,54,FALSE)</f>
        <v>47.33</v>
      </c>
      <c r="G186" s="261">
        <f t="shared" si="119"/>
        <v>0.59000000000000341</v>
      </c>
      <c r="H186" s="280">
        <f>ROUND(E186/0.723358,2)</f>
        <v>66.25</v>
      </c>
      <c r="I186" s="261">
        <f>VLOOKUP($A186,[1]Planilha!$A$18:$BK$553,62,FALSE)</f>
        <v>66.25</v>
      </c>
      <c r="J186" s="261">
        <f t="shared" si="120"/>
        <v>0</v>
      </c>
      <c r="K186" s="282">
        <f>VLOOKUP(A186,[2]Plan1!$H$2:$J$279,3,FALSE)</f>
        <v>46.753849472779805</v>
      </c>
      <c r="L186" s="261">
        <f>VLOOKUP($A186,[1]Planilha!$A$18:$BK$553,52,FALSE)</f>
        <v>46.75</v>
      </c>
      <c r="M186" s="261">
        <f t="shared" si="121"/>
        <v>3.8494727798052963E-3</v>
      </c>
      <c r="N186" s="280">
        <f>ROUND(K186/0.723358,2)</f>
        <v>64.63</v>
      </c>
      <c r="O186" s="261">
        <f>VLOOKUP($A186,[1]Planilha!$A$18:$BK$553,60,FALSE)</f>
        <v>64.63</v>
      </c>
      <c r="P186" s="261">
        <f t="shared" si="122"/>
        <v>0</v>
      </c>
      <c r="Q186" s="280">
        <f>ROUND(K186*0.993939,2)</f>
        <v>46.47</v>
      </c>
      <c r="R186" s="261">
        <f>VLOOKUP($A186,[1]Planilha!$A$18:$BK$553,51,FALSE)</f>
        <v>46.47</v>
      </c>
      <c r="S186" s="261">
        <f t="shared" si="123"/>
        <v>0</v>
      </c>
      <c r="T186" s="280">
        <f>ROUND(Q186/0.723358,2)</f>
        <v>64.239999999999995</v>
      </c>
      <c r="U186" s="261">
        <f>VLOOKUP($A186,[1]Planilha!$A$18:$BK$553,59,FALSE)</f>
        <v>64.239999999999995</v>
      </c>
      <c r="V186" s="261">
        <f t="shared" si="124"/>
        <v>0</v>
      </c>
      <c r="W186" s="280">
        <f t="shared" si="139"/>
        <v>46.19</v>
      </c>
      <c r="X186" s="261">
        <f>VLOOKUP($A186,[1]Planilha!$A$18:$BK$553,50,FALSE)</f>
        <v>46.19</v>
      </c>
      <c r="Y186" s="261">
        <f t="shared" si="125"/>
        <v>0</v>
      </c>
      <c r="Z186" s="280">
        <f t="shared" si="140"/>
        <v>63.85</v>
      </c>
      <c r="AA186" s="261">
        <f>VLOOKUP($A186,[1]Planilha!$A$18:$BK$553,58,FALSE)</f>
        <v>63.85</v>
      </c>
      <c r="AB186" s="261">
        <f t="shared" si="126"/>
        <v>0</v>
      </c>
      <c r="AC186" s="280">
        <f t="shared" si="141"/>
        <v>43.57</v>
      </c>
      <c r="AD186" s="261">
        <f>VLOOKUP($A186,[1]Planilha!$A$18:$BK$553,49,FALSE)</f>
        <v>43.57</v>
      </c>
      <c r="AE186" s="261">
        <f t="shared" si="127"/>
        <v>0</v>
      </c>
      <c r="AF186" s="281">
        <f t="shared" si="142"/>
        <v>60.23</v>
      </c>
      <c r="AG186" s="261">
        <f>VLOOKUP($A186,[1]Planilha!$A$18:$BK$553,57,FALSE)</f>
        <v>60.23</v>
      </c>
      <c r="AH186" s="261">
        <f t="shared" si="128"/>
        <v>0</v>
      </c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</row>
    <row r="187" spans="1:46" ht="15">
      <c r="A187" s="684"/>
      <c r="B187" s="114" t="s">
        <v>339</v>
      </c>
      <c r="C187" s="114"/>
      <c r="D187" s="104"/>
      <c r="E187" s="297"/>
      <c r="F187" s="261" t="e">
        <f>VLOOKUP($A187,[1]Planilha!$A$18:$BK$553,54,FALSE)</f>
        <v>#N/A</v>
      </c>
      <c r="G187" s="261" t="e">
        <f t="shared" si="119"/>
        <v>#N/A</v>
      </c>
      <c r="H187" s="298"/>
      <c r="I187" s="261" t="e">
        <f>VLOOKUP($A187,[1]Planilha!$A$18:$BK$553,62,FALSE)</f>
        <v>#N/A</v>
      </c>
      <c r="J187" s="261" t="e">
        <f t="shared" si="120"/>
        <v>#N/A</v>
      </c>
      <c r="K187" s="282"/>
      <c r="L187" s="261" t="e">
        <f>VLOOKUP($A187,[1]Planilha!$A$18:$BK$553,52,FALSE)</f>
        <v>#N/A</v>
      </c>
      <c r="M187" s="261" t="e">
        <f t="shared" si="121"/>
        <v>#N/A</v>
      </c>
      <c r="N187" s="298"/>
      <c r="O187" s="261" t="e">
        <f>VLOOKUP($A187,[1]Planilha!$A$18:$BK$553,60,FALSE)</f>
        <v>#N/A</v>
      </c>
      <c r="P187" s="261" t="e">
        <f t="shared" si="122"/>
        <v>#N/A</v>
      </c>
      <c r="Q187" s="297"/>
      <c r="R187" s="261" t="e">
        <f>VLOOKUP($A187,[1]Planilha!$A$18:$BK$553,51,FALSE)</f>
        <v>#N/A</v>
      </c>
      <c r="S187" s="261" t="e">
        <f t="shared" si="123"/>
        <v>#N/A</v>
      </c>
      <c r="T187" s="298"/>
      <c r="U187" s="261" t="e">
        <f>VLOOKUP($A187,[1]Planilha!$A$18:$BK$553,59,FALSE)</f>
        <v>#N/A</v>
      </c>
      <c r="V187" s="261" t="e">
        <f t="shared" si="124"/>
        <v>#N/A</v>
      </c>
      <c r="W187" s="297"/>
      <c r="X187" s="261" t="e">
        <f>VLOOKUP($A187,[1]Planilha!$A$18:$BK$553,50,FALSE)</f>
        <v>#N/A</v>
      </c>
      <c r="Y187" s="261" t="e">
        <f t="shared" si="125"/>
        <v>#N/A</v>
      </c>
      <c r="Z187" s="298"/>
      <c r="AA187" s="261" t="e">
        <f>VLOOKUP($A187,[1]Planilha!$A$18:$BK$553,58,FALSE)</f>
        <v>#N/A</v>
      </c>
      <c r="AB187" s="261" t="e">
        <f t="shared" si="126"/>
        <v>#N/A</v>
      </c>
      <c r="AC187" s="297"/>
      <c r="AD187" s="261" t="e">
        <f>VLOOKUP($A187,[1]Planilha!$A$18:$BK$553,49,FALSE)</f>
        <v>#N/A</v>
      </c>
      <c r="AE187" s="261" t="e">
        <f t="shared" si="127"/>
        <v>#N/A</v>
      </c>
      <c r="AF187" s="299"/>
      <c r="AG187" s="261" t="e">
        <f>VLOOKUP($A187,[1]Planilha!$A$18:$BK$553,57,FALSE)</f>
        <v>#N/A</v>
      </c>
      <c r="AH187" s="261" t="e">
        <f t="shared" si="128"/>
        <v>#N/A</v>
      </c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</row>
    <row r="188" spans="1:46">
      <c r="A188" s="229">
        <v>7891721200663</v>
      </c>
      <c r="B188" s="175" t="s">
        <v>78</v>
      </c>
      <c r="C188" s="135" t="s">
        <v>509</v>
      </c>
      <c r="D188" s="94" t="s">
        <v>340</v>
      </c>
      <c r="E188" s="280">
        <f>ROUND(K188*1.025,2)</f>
        <v>10.95</v>
      </c>
      <c r="F188" s="261">
        <f>VLOOKUP($A188,[1]Planilha!$A$18:$BK$553,54,FALSE)</f>
        <v>10.82</v>
      </c>
      <c r="G188" s="261">
        <f t="shared" si="119"/>
        <v>0.12999999999999901</v>
      </c>
      <c r="H188" s="280">
        <f>ROUND(E188/0.723358,2)</f>
        <v>15.14</v>
      </c>
      <c r="I188" s="261">
        <f>VLOOKUP($A188,[1]Planilha!$A$18:$BK$553,62,FALSE)</f>
        <v>15.14</v>
      </c>
      <c r="J188" s="261">
        <f t="shared" si="120"/>
        <v>0</v>
      </c>
      <c r="K188" s="282">
        <f>VLOOKUP(A188,[2]Plan1!$H$2:$J$279,3,FALSE)</f>
        <v>10.685396921854222</v>
      </c>
      <c r="L188" s="261">
        <f>VLOOKUP($A188,[1]Planilha!$A$18:$BK$553,52,FALSE)</f>
        <v>10.69</v>
      </c>
      <c r="M188" s="261">
        <f t="shared" si="121"/>
        <v>-4.6030781457773173E-3</v>
      </c>
      <c r="N188" s="280">
        <f>ROUND(K188/0.723358,2)</f>
        <v>14.77</v>
      </c>
      <c r="O188" s="261">
        <f>VLOOKUP($A188,[1]Planilha!$A$18:$BK$553,60,FALSE)</f>
        <v>14.77</v>
      </c>
      <c r="P188" s="261">
        <f t="shared" si="122"/>
        <v>0</v>
      </c>
      <c r="Q188" s="280">
        <f>ROUND(K188*0.993939,2)</f>
        <v>10.62</v>
      </c>
      <c r="R188" s="261">
        <f>VLOOKUP($A188,[1]Planilha!$A$18:$BK$553,51,FALSE)</f>
        <v>10.62</v>
      </c>
      <c r="S188" s="261">
        <f t="shared" si="123"/>
        <v>0</v>
      </c>
      <c r="T188" s="280">
        <f>ROUND(Q188/0.723358,2)</f>
        <v>14.68</v>
      </c>
      <c r="U188" s="261">
        <f>VLOOKUP($A188,[1]Planilha!$A$18:$BK$553,59,FALSE)</f>
        <v>14.68</v>
      </c>
      <c r="V188" s="261">
        <f t="shared" si="124"/>
        <v>0</v>
      </c>
      <c r="W188" s="280">
        <f t="shared" si="139"/>
        <v>10.56</v>
      </c>
      <c r="X188" s="261">
        <f>VLOOKUP($A188,[1]Planilha!$A$18:$BK$553,50,FALSE)</f>
        <v>10.56</v>
      </c>
      <c r="Y188" s="261">
        <f t="shared" si="125"/>
        <v>0</v>
      </c>
      <c r="Z188" s="280">
        <f t="shared" si="140"/>
        <v>14.6</v>
      </c>
      <c r="AA188" s="261">
        <f>VLOOKUP($A188,[1]Planilha!$A$18:$BK$553,58,FALSE)</f>
        <v>14.6</v>
      </c>
      <c r="AB188" s="261">
        <f t="shared" si="126"/>
        <v>0</v>
      </c>
      <c r="AC188" s="280">
        <f t="shared" si="141"/>
        <v>9.9600000000000009</v>
      </c>
      <c r="AD188" s="261">
        <f>VLOOKUP($A188,[1]Planilha!$A$18:$BK$553,49,FALSE)</f>
        <v>9.9600000000000009</v>
      </c>
      <c r="AE188" s="261">
        <f t="shared" si="127"/>
        <v>0</v>
      </c>
      <c r="AF188" s="281">
        <f t="shared" si="142"/>
        <v>13.77</v>
      </c>
      <c r="AG188" s="261">
        <f>VLOOKUP($A188,[1]Planilha!$A$18:$BK$553,57,FALSE)</f>
        <v>13.77</v>
      </c>
      <c r="AH188" s="261">
        <f t="shared" si="128"/>
        <v>0</v>
      </c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</row>
    <row r="189" spans="1:46" ht="15">
      <c r="A189" s="684"/>
      <c r="B189" s="114" t="s">
        <v>341</v>
      </c>
      <c r="C189" s="114"/>
      <c r="D189" s="104"/>
      <c r="E189" s="297"/>
      <c r="F189" s="261" t="e">
        <f>VLOOKUP($A189,[1]Planilha!$A$18:$BK$553,54,FALSE)</f>
        <v>#N/A</v>
      </c>
      <c r="G189" s="261" t="e">
        <f t="shared" si="119"/>
        <v>#N/A</v>
      </c>
      <c r="H189" s="298"/>
      <c r="I189" s="261" t="e">
        <f>VLOOKUP($A189,[1]Planilha!$A$18:$BK$553,62,FALSE)</f>
        <v>#N/A</v>
      </c>
      <c r="J189" s="261" t="e">
        <f t="shared" si="120"/>
        <v>#N/A</v>
      </c>
      <c r="K189" s="282"/>
      <c r="L189" s="261" t="e">
        <f>VLOOKUP($A189,[1]Planilha!$A$18:$BK$553,52,FALSE)</f>
        <v>#N/A</v>
      </c>
      <c r="M189" s="261" t="e">
        <f t="shared" si="121"/>
        <v>#N/A</v>
      </c>
      <c r="N189" s="298"/>
      <c r="O189" s="261" t="e">
        <f>VLOOKUP($A189,[1]Planilha!$A$18:$BK$553,60,FALSE)</f>
        <v>#N/A</v>
      </c>
      <c r="P189" s="261" t="e">
        <f t="shared" si="122"/>
        <v>#N/A</v>
      </c>
      <c r="Q189" s="297"/>
      <c r="R189" s="261" t="e">
        <f>VLOOKUP($A189,[1]Planilha!$A$18:$BK$553,51,FALSE)</f>
        <v>#N/A</v>
      </c>
      <c r="S189" s="261" t="e">
        <f t="shared" si="123"/>
        <v>#N/A</v>
      </c>
      <c r="T189" s="298"/>
      <c r="U189" s="261" t="e">
        <f>VLOOKUP($A189,[1]Planilha!$A$18:$BK$553,59,FALSE)</f>
        <v>#N/A</v>
      </c>
      <c r="V189" s="261" t="e">
        <f t="shared" si="124"/>
        <v>#N/A</v>
      </c>
      <c r="W189" s="297"/>
      <c r="X189" s="261" t="e">
        <f>VLOOKUP($A189,[1]Planilha!$A$18:$BK$553,50,FALSE)</f>
        <v>#N/A</v>
      </c>
      <c r="Y189" s="261" t="e">
        <f t="shared" si="125"/>
        <v>#N/A</v>
      </c>
      <c r="Z189" s="298"/>
      <c r="AA189" s="261" t="e">
        <f>VLOOKUP($A189,[1]Planilha!$A$18:$BK$553,58,FALSE)</f>
        <v>#N/A</v>
      </c>
      <c r="AB189" s="261" t="e">
        <f t="shared" si="126"/>
        <v>#N/A</v>
      </c>
      <c r="AC189" s="297"/>
      <c r="AD189" s="261" t="e">
        <f>VLOOKUP($A189,[1]Planilha!$A$18:$BK$553,49,FALSE)</f>
        <v>#N/A</v>
      </c>
      <c r="AE189" s="261" t="e">
        <f t="shared" si="127"/>
        <v>#N/A</v>
      </c>
      <c r="AF189" s="299"/>
      <c r="AG189" s="261" t="e">
        <f>VLOOKUP($A189,[1]Planilha!$A$18:$BK$553,57,FALSE)</f>
        <v>#N/A</v>
      </c>
      <c r="AH189" s="261" t="e">
        <f t="shared" si="128"/>
        <v>#N/A</v>
      </c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</row>
    <row r="190" spans="1:46">
      <c r="A190" s="229">
        <v>7891721275012</v>
      </c>
      <c r="B190" s="176">
        <v>1008903370019</v>
      </c>
      <c r="C190" s="135" t="s">
        <v>510</v>
      </c>
      <c r="D190" s="94" t="s">
        <v>488</v>
      </c>
      <c r="E190" s="280">
        <f>ROUND(K190*1.025,2)</f>
        <v>79.03</v>
      </c>
      <c r="F190" s="261">
        <f>VLOOKUP($A190,[1]Planilha!$A$18:$BK$553,54,FALSE)</f>
        <v>78.05</v>
      </c>
      <c r="G190" s="261">
        <f t="shared" si="119"/>
        <v>0.98000000000000398</v>
      </c>
      <c r="H190" s="280">
        <f>ROUND(E190/0.723358,2)</f>
        <v>109.25</v>
      </c>
      <c r="I190" s="261">
        <f>VLOOKUP($A190,[1]Planilha!$A$18:$BK$553,62,FALSE)</f>
        <v>109.25</v>
      </c>
      <c r="J190" s="261">
        <f t="shared" si="120"/>
        <v>0</v>
      </c>
      <c r="K190" s="282">
        <f>VLOOKUP(A190,[2]Plan1!$H$2:$J$279,3,FALSE)</f>
        <v>77.099186000000003</v>
      </c>
      <c r="L190" s="261">
        <f>VLOOKUP($A190,[1]Planilha!$A$18:$BK$553,52,FALSE)</f>
        <v>77.099999999999994</v>
      </c>
      <c r="M190" s="261">
        <f t="shared" si="121"/>
        <v>-8.1399999999121064E-4</v>
      </c>
      <c r="N190" s="489">
        <v>106.58</v>
      </c>
      <c r="O190" s="261">
        <f>VLOOKUP($A190,[1]Planilha!$A$18:$BK$553,60,FALSE)</f>
        <v>106.58</v>
      </c>
      <c r="P190" s="261">
        <f t="shared" si="122"/>
        <v>0</v>
      </c>
      <c r="Q190" s="280">
        <f>ROUND(K190*0.993939,2)</f>
        <v>76.63</v>
      </c>
      <c r="R190" s="261">
        <f>VLOOKUP($A190,[1]Planilha!$A$18:$BK$553,51,FALSE)</f>
        <v>76.63</v>
      </c>
      <c r="S190" s="261">
        <f t="shared" si="123"/>
        <v>0</v>
      </c>
      <c r="T190" s="280">
        <f>ROUND(Q190/0.723358,2)</f>
        <v>105.94</v>
      </c>
      <c r="U190" s="261">
        <f>VLOOKUP($A190,[1]Planilha!$A$18:$BK$553,59,FALSE)</f>
        <v>105.94</v>
      </c>
      <c r="V190" s="261">
        <f t="shared" si="124"/>
        <v>0</v>
      </c>
      <c r="W190" s="280">
        <f t="shared" si="139"/>
        <v>76.17</v>
      </c>
      <c r="X190" s="261">
        <f>VLOOKUP($A190,[1]Planilha!$A$18:$BK$553,50,FALSE)</f>
        <v>76.17</v>
      </c>
      <c r="Y190" s="261">
        <f t="shared" si="125"/>
        <v>0</v>
      </c>
      <c r="Z190" s="280">
        <f t="shared" si="140"/>
        <v>105.3</v>
      </c>
      <c r="AA190" s="261">
        <f>VLOOKUP($A190,[1]Planilha!$A$18:$BK$553,58,FALSE)</f>
        <v>105.3</v>
      </c>
      <c r="AB190" s="261">
        <f t="shared" si="126"/>
        <v>0</v>
      </c>
      <c r="AC190" s="280">
        <f t="shared" si="141"/>
        <v>71.84</v>
      </c>
      <c r="AD190" s="261">
        <f>VLOOKUP($A190,[1]Planilha!$A$18:$BK$553,49,FALSE)</f>
        <v>71.84</v>
      </c>
      <c r="AE190" s="261">
        <f t="shared" si="127"/>
        <v>0</v>
      </c>
      <c r="AF190" s="281">
        <f t="shared" si="142"/>
        <v>99.31</v>
      </c>
      <c r="AG190" s="261">
        <f>VLOOKUP($A190,[1]Planilha!$A$18:$BK$553,57,FALSE)</f>
        <v>99.31</v>
      </c>
      <c r="AH190" s="261">
        <f t="shared" si="128"/>
        <v>0</v>
      </c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</row>
    <row r="191" spans="1:46" s="150" customFormat="1" ht="15">
      <c r="A191" s="684"/>
      <c r="B191" s="114" t="s">
        <v>342</v>
      </c>
      <c r="C191" s="114"/>
      <c r="D191" s="104"/>
      <c r="E191" s="193"/>
      <c r="F191" s="261" t="e">
        <f>VLOOKUP($A191,[1]Planilha!$A$18:$BK$553,54,FALSE)</f>
        <v>#N/A</v>
      </c>
      <c r="G191" s="261" t="e">
        <f t="shared" si="119"/>
        <v>#N/A</v>
      </c>
      <c r="H191" s="194"/>
      <c r="I191" s="261" t="e">
        <f>VLOOKUP($A191,[1]Planilha!$A$18:$BK$553,62,FALSE)</f>
        <v>#N/A</v>
      </c>
      <c r="J191" s="261" t="e">
        <f t="shared" si="120"/>
        <v>#N/A</v>
      </c>
      <c r="K191" s="282"/>
      <c r="L191" s="261" t="e">
        <f>VLOOKUP($A191,[1]Planilha!$A$18:$BK$553,52,FALSE)</f>
        <v>#N/A</v>
      </c>
      <c r="M191" s="261" t="e">
        <f t="shared" si="121"/>
        <v>#N/A</v>
      </c>
      <c r="N191" s="194"/>
      <c r="O191" s="261" t="e">
        <f>VLOOKUP($A191,[1]Planilha!$A$18:$BK$553,60,FALSE)</f>
        <v>#N/A</v>
      </c>
      <c r="P191" s="261" t="e">
        <f t="shared" si="122"/>
        <v>#N/A</v>
      </c>
      <c r="Q191" s="193"/>
      <c r="R191" s="261" t="e">
        <f>VLOOKUP($A191,[1]Planilha!$A$18:$BK$553,51,FALSE)</f>
        <v>#N/A</v>
      </c>
      <c r="S191" s="261" t="e">
        <f t="shared" si="123"/>
        <v>#N/A</v>
      </c>
      <c r="T191" s="194"/>
      <c r="U191" s="261" t="e">
        <f>VLOOKUP($A191,[1]Planilha!$A$18:$BK$553,59,FALSE)</f>
        <v>#N/A</v>
      </c>
      <c r="V191" s="261" t="e">
        <f t="shared" si="124"/>
        <v>#N/A</v>
      </c>
      <c r="W191" s="193"/>
      <c r="X191" s="261" t="e">
        <f>VLOOKUP($A191,[1]Planilha!$A$18:$BK$553,50,FALSE)</f>
        <v>#N/A</v>
      </c>
      <c r="Y191" s="261" t="e">
        <f t="shared" si="125"/>
        <v>#N/A</v>
      </c>
      <c r="Z191" s="194"/>
      <c r="AA191" s="261" t="e">
        <f>VLOOKUP($A191,[1]Planilha!$A$18:$BK$553,58,FALSE)</f>
        <v>#N/A</v>
      </c>
      <c r="AB191" s="261" t="e">
        <f t="shared" si="126"/>
        <v>#N/A</v>
      </c>
      <c r="AC191" s="193"/>
      <c r="AD191" s="261" t="e">
        <f>VLOOKUP($A191,[1]Planilha!$A$18:$BK$553,49,FALSE)</f>
        <v>#N/A</v>
      </c>
      <c r="AE191" s="261" t="e">
        <f t="shared" si="127"/>
        <v>#N/A</v>
      </c>
      <c r="AF191" s="195"/>
      <c r="AG191" s="261" t="e">
        <f>VLOOKUP($A191,[1]Planilha!$A$18:$BK$553,57,FALSE)</f>
        <v>#N/A</v>
      </c>
      <c r="AH191" s="261" t="e">
        <f t="shared" si="128"/>
        <v>#N/A</v>
      </c>
    </row>
    <row r="192" spans="1:46">
      <c r="A192" s="229">
        <v>7891721200014</v>
      </c>
      <c r="B192" s="175" t="s">
        <v>67</v>
      </c>
      <c r="C192" s="117" t="s">
        <v>511</v>
      </c>
      <c r="D192" s="94" t="s">
        <v>343</v>
      </c>
      <c r="E192" s="282">
        <f>ROUND(K192*1.025,2)</f>
        <v>18.899999999999999</v>
      </c>
      <c r="F192" s="261">
        <f>VLOOKUP($A192,[1]Planilha!$A$18:$BK$553,54,FALSE)</f>
        <v>18.66</v>
      </c>
      <c r="G192" s="261">
        <f t="shared" si="119"/>
        <v>0.23999999999999844</v>
      </c>
      <c r="H192" s="282">
        <f>ROUND(E192/0.723358,2)</f>
        <v>26.13</v>
      </c>
      <c r="I192" s="261">
        <f>VLOOKUP($A192,[1]Planilha!$A$18:$BK$553,62,FALSE)</f>
        <v>26.13</v>
      </c>
      <c r="J192" s="261">
        <f t="shared" si="120"/>
        <v>0</v>
      </c>
      <c r="K192" s="282">
        <f>VLOOKUP(A192,[2]Plan1!$H$2:$J$279,3,FALSE)</f>
        <v>18.437218130585499</v>
      </c>
      <c r="L192" s="261">
        <f>VLOOKUP($A192,[1]Planilha!$A$18:$BK$553,52,FALSE)</f>
        <v>18.440000000000001</v>
      </c>
      <c r="M192" s="261">
        <f t="shared" si="121"/>
        <v>-2.7818694145018696E-3</v>
      </c>
      <c r="N192" s="282">
        <f t="shared" ref="N192:N194" si="168">ROUND(K192/0.723358,2)</f>
        <v>25.49</v>
      </c>
      <c r="O192" s="261">
        <f>VLOOKUP($A192,[1]Planilha!$A$18:$BK$553,60,FALSE)</f>
        <v>25.49</v>
      </c>
      <c r="P192" s="261">
        <f t="shared" si="122"/>
        <v>0</v>
      </c>
      <c r="Q192" s="282">
        <f t="shared" ref="Q192:Q194" si="169">ROUND(K192*0.993939,2)</f>
        <v>18.329999999999998</v>
      </c>
      <c r="R192" s="261">
        <f>VLOOKUP($A192,[1]Planilha!$A$18:$BK$553,51,FALSE)</f>
        <v>18.329999999999998</v>
      </c>
      <c r="S192" s="261">
        <f t="shared" si="123"/>
        <v>0</v>
      </c>
      <c r="T192" s="282">
        <f t="shared" ref="T192:T194" si="170">ROUND(Q192/0.723358,2)</f>
        <v>25.34</v>
      </c>
      <c r="U192" s="261">
        <f>VLOOKUP($A192,[1]Planilha!$A$18:$BK$553,59,FALSE)</f>
        <v>25.34</v>
      </c>
      <c r="V192" s="261">
        <f t="shared" si="124"/>
        <v>0</v>
      </c>
      <c r="W192" s="492">
        <v>18.21</v>
      </c>
      <c r="X192" s="261">
        <f>VLOOKUP($A192,[1]Planilha!$A$18:$BK$553,50,FALSE)</f>
        <v>18.21</v>
      </c>
      <c r="Y192" s="261">
        <f t="shared" si="125"/>
        <v>0</v>
      </c>
      <c r="Z192" s="282">
        <f t="shared" si="140"/>
        <v>25.17</v>
      </c>
      <c r="AA192" s="261">
        <f>VLOOKUP($A192,[1]Planilha!$A$18:$BK$553,58,FALSE)</f>
        <v>25.17</v>
      </c>
      <c r="AB192" s="261">
        <f t="shared" si="126"/>
        <v>0</v>
      </c>
      <c r="AC192" s="282">
        <f t="shared" si="141"/>
        <v>17.18</v>
      </c>
      <c r="AD192" s="261">
        <f>VLOOKUP($A192,[1]Planilha!$A$18:$BK$553,49,FALSE)</f>
        <v>17.18</v>
      </c>
      <c r="AE192" s="261">
        <f t="shared" si="127"/>
        <v>0</v>
      </c>
      <c r="AF192" s="283">
        <f t="shared" si="142"/>
        <v>23.75</v>
      </c>
      <c r="AG192" s="261">
        <f>VLOOKUP($A192,[1]Planilha!$A$18:$BK$553,57,FALSE)</f>
        <v>23.75</v>
      </c>
      <c r="AH192" s="261">
        <f t="shared" si="128"/>
        <v>0</v>
      </c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</row>
    <row r="193" spans="1:46">
      <c r="A193" s="229">
        <v>7891721200045</v>
      </c>
      <c r="B193" s="175" t="s">
        <v>68</v>
      </c>
      <c r="C193" s="121" t="s">
        <v>512</v>
      </c>
      <c r="D193" s="94" t="s">
        <v>344</v>
      </c>
      <c r="E193" s="284">
        <f>ROUND(K193*1.025,2)</f>
        <v>32.83</v>
      </c>
      <c r="F193" s="261">
        <f>VLOOKUP($A193,[1]Planilha!$A$18:$BK$553,54,FALSE)</f>
        <v>32.43</v>
      </c>
      <c r="G193" s="261">
        <f t="shared" si="119"/>
        <v>0.39999999999999858</v>
      </c>
      <c r="H193" s="284">
        <f>ROUND(E193/0.723358,2)</f>
        <v>45.39</v>
      </c>
      <c r="I193" s="261">
        <f>VLOOKUP($A193,[1]Planilha!$A$18:$BK$553,62,FALSE)</f>
        <v>45.39</v>
      </c>
      <c r="J193" s="261">
        <f t="shared" si="120"/>
        <v>0</v>
      </c>
      <c r="K193" s="282">
        <f>VLOOKUP(A193,[2]Plan1!$H$2:$J$279,3,FALSE)</f>
        <v>32.030672973649928</v>
      </c>
      <c r="L193" s="261">
        <f>VLOOKUP($A193,[1]Planilha!$A$18:$BK$553,52,FALSE)</f>
        <v>32.03</v>
      </c>
      <c r="M193" s="261">
        <f t="shared" si="121"/>
        <v>6.7297364992668918E-4</v>
      </c>
      <c r="N193" s="284">
        <f t="shared" si="168"/>
        <v>44.28</v>
      </c>
      <c r="O193" s="261">
        <f>VLOOKUP($A193,[1]Planilha!$A$18:$BK$553,60,FALSE)</f>
        <v>44.28</v>
      </c>
      <c r="P193" s="261">
        <f t="shared" si="122"/>
        <v>0</v>
      </c>
      <c r="Q193" s="284">
        <f t="shared" si="169"/>
        <v>31.84</v>
      </c>
      <c r="R193" s="261">
        <f>VLOOKUP($A193,[1]Planilha!$A$18:$BK$553,51,FALSE)</f>
        <v>31.84</v>
      </c>
      <c r="S193" s="261">
        <f t="shared" si="123"/>
        <v>0</v>
      </c>
      <c r="T193" s="284">
        <f t="shared" si="170"/>
        <v>44.02</v>
      </c>
      <c r="U193" s="261">
        <f>VLOOKUP($A193,[1]Planilha!$A$18:$BK$553,59,FALSE)</f>
        <v>44.02</v>
      </c>
      <c r="V193" s="261">
        <f t="shared" si="124"/>
        <v>0</v>
      </c>
      <c r="W193" s="284">
        <f t="shared" si="139"/>
        <v>31.64</v>
      </c>
      <c r="X193" s="261">
        <f>VLOOKUP($A193,[1]Planilha!$A$18:$BK$553,50,FALSE)</f>
        <v>31.64</v>
      </c>
      <c r="Y193" s="261">
        <f t="shared" si="125"/>
        <v>0</v>
      </c>
      <c r="Z193" s="284">
        <f t="shared" si="140"/>
        <v>43.74</v>
      </c>
      <c r="AA193" s="261">
        <f>VLOOKUP($A193,[1]Planilha!$A$18:$BK$553,58,FALSE)</f>
        <v>43.74</v>
      </c>
      <c r="AB193" s="261">
        <f t="shared" si="126"/>
        <v>0</v>
      </c>
      <c r="AC193" s="284">
        <f t="shared" si="141"/>
        <v>29.85</v>
      </c>
      <c r="AD193" s="261">
        <f>VLOOKUP($A193,[1]Planilha!$A$18:$BK$553,49,FALSE)</f>
        <v>29.85</v>
      </c>
      <c r="AE193" s="261">
        <f t="shared" si="127"/>
        <v>0</v>
      </c>
      <c r="AF193" s="285">
        <f t="shared" si="142"/>
        <v>41.27</v>
      </c>
      <c r="AG193" s="261">
        <f>VLOOKUP($A193,[1]Planilha!$A$18:$BK$553,57,FALSE)</f>
        <v>41.27</v>
      </c>
      <c r="AH193" s="261">
        <f t="shared" si="128"/>
        <v>0</v>
      </c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</row>
    <row r="194" spans="1:46">
      <c r="A194" s="229">
        <v>7891721200076</v>
      </c>
      <c r="B194" s="175" t="s">
        <v>69</v>
      </c>
      <c r="C194" s="122" t="s">
        <v>513</v>
      </c>
      <c r="D194" s="94" t="s">
        <v>345</v>
      </c>
      <c r="E194" s="289">
        <f>ROUND(K194*1.025,2)</f>
        <v>56.95</v>
      </c>
      <c r="F194" s="261">
        <f>VLOOKUP($A194,[1]Planilha!$A$18:$BK$553,54,FALSE)</f>
        <v>56.24</v>
      </c>
      <c r="G194" s="261">
        <f t="shared" si="119"/>
        <v>0.71000000000000085</v>
      </c>
      <c r="H194" s="289">
        <f>ROUND(E194/0.723358,2)</f>
        <v>78.73</v>
      </c>
      <c r="I194" s="261">
        <f>VLOOKUP($A194,[1]Planilha!$A$18:$BK$553,62,FALSE)</f>
        <v>78.73</v>
      </c>
      <c r="J194" s="261">
        <f t="shared" si="120"/>
        <v>0</v>
      </c>
      <c r="K194" s="282">
        <f>VLOOKUP(A194,[2]Plan1!$H$2:$J$279,3,FALSE)</f>
        <v>55.558995495800119</v>
      </c>
      <c r="L194" s="261">
        <f>VLOOKUP($A194,[1]Planilha!$A$18:$BK$553,52,FALSE)</f>
        <v>55.56</v>
      </c>
      <c r="M194" s="261">
        <f t="shared" si="121"/>
        <v>-1.0045041998836268E-3</v>
      </c>
      <c r="N194" s="289">
        <f t="shared" si="168"/>
        <v>76.81</v>
      </c>
      <c r="O194" s="261">
        <f>VLOOKUP($A194,[1]Planilha!$A$18:$BK$553,60,FALSE)</f>
        <v>76.81</v>
      </c>
      <c r="P194" s="261">
        <f t="shared" si="122"/>
        <v>0</v>
      </c>
      <c r="Q194" s="289">
        <f t="shared" si="169"/>
        <v>55.22</v>
      </c>
      <c r="R194" s="261">
        <f>VLOOKUP($A194,[1]Planilha!$A$18:$BK$553,51,FALSE)</f>
        <v>55.22</v>
      </c>
      <c r="S194" s="261">
        <f t="shared" si="123"/>
        <v>0</v>
      </c>
      <c r="T194" s="289">
        <f t="shared" si="170"/>
        <v>76.34</v>
      </c>
      <c r="U194" s="261">
        <f>VLOOKUP($A194,[1]Planilha!$A$18:$BK$553,59,FALSE)</f>
        <v>76.34</v>
      </c>
      <c r="V194" s="261">
        <f t="shared" si="124"/>
        <v>0</v>
      </c>
      <c r="W194" s="289">
        <f t="shared" si="139"/>
        <v>54.89</v>
      </c>
      <c r="X194" s="261">
        <f>VLOOKUP($A194,[1]Planilha!$A$18:$BK$553,50,FALSE)</f>
        <v>54.89</v>
      </c>
      <c r="Y194" s="261">
        <f t="shared" si="125"/>
        <v>0</v>
      </c>
      <c r="Z194" s="289">
        <f t="shared" si="140"/>
        <v>75.88</v>
      </c>
      <c r="AA194" s="261">
        <f>VLOOKUP($A194,[1]Planilha!$A$18:$BK$553,58,FALSE)</f>
        <v>75.88</v>
      </c>
      <c r="AB194" s="261">
        <f t="shared" si="126"/>
        <v>0</v>
      </c>
      <c r="AC194" s="289">
        <f t="shared" si="141"/>
        <v>51.77</v>
      </c>
      <c r="AD194" s="261">
        <f>VLOOKUP($A194,[1]Planilha!$A$18:$BK$553,49,FALSE)</f>
        <v>51.77</v>
      </c>
      <c r="AE194" s="261">
        <f t="shared" si="127"/>
        <v>0</v>
      </c>
      <c r="AF194" s="290">
        <f t="shared" si="142"/>
        <v>71.569999999999993</v>
      </c>
      <c r="AG194" s="261">
        <f>VLOOKUP($A194,[1]Planilha!$A$18:$BK$553,57,FALSE)</f>
        <v>71.569999999999993</v>
      </c>
      <c r="AH194" s="261">
        <f t="shared" si="128"/>
        <v>0</v>
      </c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</row>
    <row r="195" spans="1:46" s="150" customFormat="1" ht="15">
      <c r="A195" s="684"/>
      <c r="B195" s="114" t="s">
        <v>448</v>
      </c>
      <c r="C195" s="114"/>
      <c r="D195" s="104"/>
      <c r="E195" s="193"/>
      <c r="F195" s="261" t="e">
        <f>VLOOKUP($A195,[1]Planilha!$A$18:$BK$553,54,FALSE)</f>
        <v>#N/A</v>
      </c>
      <c r="G195" s="261" t="e">
        <f t="shared" si="119"/>
        <v>#N/A</v>
      </c>
      <c r="H195" s="194"/>
      <c r="I195" s="261" t="e">
        <f>VLOOKUP($A195,[1]Planilha!$A$18:$BK$553,62,FALSE)</f>
        <v>#N/A</v>
      </c>
      <c r="J195" s="261" t="e">
        <f t="shared" si="120"/>
        <v>#N/A</v>
      </c>
      <c r="K195" s="282"/>
      <c r="L195" s="261" t="e">
        <f>VLOOKUP($A195,[1]Planilha!$A$18:$BK$553,52,FALSE)</f>
        <v>#N/A</v>
      </c>
      <c r="M195" s="261" t="e">
        <f t="shared" si="121"/>
        <v>#N/A</v>
      </c>
      <c r="N195" s="194"/>
      <c r="O195" s="261" t="e">
        <f>VLOOKUP($A195,[1]Planilha!$A$18:$BK$553,60,FALSE)</f>
        <v>#N/A</v>
      </c>
      <c r="P195" s="261" t="e">
        <f t="shared" si="122"/>
        <v>#N/A</v>
      </c>
      <c r="Q195" s="193"/>
      <c r="R195" s="261" t="e">
        <f>VLOOKUP($A195,[1]Planilha!$A$18:$BK$553,51,FALSE)</f>
        <v>#N/A</v>
      </c>
      <c r="S195" s="261" t="e">
        <f t="shared" si="123"/>
        <v>#N/A</v>
      </c>
      <c r="T195" s="194"/>
      <c r="U195" s="261" t="e">
        <f>VLOOKUP($A195,[1]Planilha!$A$18:$BK$553,59,FALSE)</f>
        <v>#N/A</v>
      </c>
      <c r="V195" s="261" t="e">
        <f t="shared" si="124"/>
        <v>#N/A</v>
      </c>
      <c r="W195" s="193"/>
      <c r="X195" s="261" t="e">
        <f>VLOOKUP($A195,[1]Planilha!$A$18:$BK$553,50,FALSE)</f>
        <v>#N/A</v>
      </c>
      <c r="Y195" s="261" t="e">
        <f t="shared" si="125"/>
        <v>#N/A</v>
      </c>
      <c r="Z195" s="194"/>
      <c r="AA195" s="261" t="e">
        <f>VLOOKUP($A195,[1]Planilha!$A$18:$BK$553,58,FALSE)</f>
        <v>#N/A</v>
      </c>
      <c r="AB195" s="261" t="e">
        <f t="shared" si="126"/>
        <v>#N/A</v>
      </c>
      <c r="AC195" s="193"/>
      <c r="AD195" s="261" t="e">
        <f>VLOOKUP($A195,[1]Planilha!$A$18:$BK$553,49,FALSE)</f>
        <v>#N/A</v>
      </c>
      <c r="AE195" s="261" t="e">
        <f t="shared" si="127"/>
        <v>#N/A</v>
      </c>
      <c r="AF195" s="195"/>
      <c r="AG195" s="261" t="e">
        <f>VLOOKUP($A195,[1]Planilha!$A$18:$BK$553,57,FALSE)</f>
        <v>#N/A</v>
      </c>
      <c r="AH195" s="261" t="e">
        <f t="shared" si="128"/>
        <v>#N/A</v>
      </c>
    </row>
    <row r="196" spans="1:46">
      <c r="A196" s="229">
        <v>7891721019791</v>
      </c>
      <c r="B196" s="139">
        <v>1008903550025</v>
      </c>
      <c r="C196" s="123" t="s">
        <v>449</v>
      </c>
      <c r="D196" s="215" t="s">
        <v>630</v>
      </c>
      <c r="E196" s="282">
        <f>K196</f>
        <v>5.8686741350525438</v>
      </c>
      <c r="F196" s="261">
        <f>VLOOKUP($A196,[1]Planilha!$A$18:$BK$553,54,FALSE)</f>
        <v>5.94</v>
      </c>
      <c r="G196" s="261">
        <f t="shared" si="119"/>
        <v>-7.132586494745663E-2</v>
      </c>
      <c r="H196" s="282">
        <f t="shared" ref="H196:H197" si="171">N196</f>
        <v>8.11</v>
      </c>
      <c r="I196" s="261">
        <f>VLOOKUP($A196,[1]Planilha!$A$18:$BK$553,62,FALSE)</f>
        <v>8.31</v>
      </c>
      <c r="J196" s="261">
        <f t="shared" si="120"/>
        <v>-0.20000000000000107</v>
      </c>
      <c r="K196" s="282">
        <f>VLOOKUP(A196,[2]Plan1!$H$2:$J$279,3,FALSE)</f>
        <v>5.8686741350525438</v>
      </c>
      <c r="L196" s="261">
        <f>VLOOKUP($A196,[1]Planilha!$A$18:$BK$553,52,FALSE)</f>
        <v>5.87</v>
      </c>
      <c r="M196" s="261">
        <f t="shared" si="121"/>
        <v>-1.3258649474563455E-3</v>
      </c>
      <c r="N196" s="282">
        <f t="shared" ref="N196:N204" si="172">ROUND(K196/0.723358,2)</f>
        <v>8.11</v>
      </c>
      <c r="O196" s="261">
        <f>VLOOKUP($A196,[1]Planilha!$A$18:$BK$553,60,FALSE)</f>
        <v>8.11</v>
      </c>
      <c r="P196" s="261">
        <f t="shared" si="122"/>
        <v>0</v>
      </c>
      <c r="Q196" s="282">
        <f t="shared" ref="Q196:Q205" si="173">ROUND(K196*0.993939,2)</f>
        <v>5.83</v>
      </c>
      <c r="R196" s="261">
        <f>VLOOKUP($A196,[1]Planilha!$A$18:$BK$553,51,FALSE)</f>
        <v>5.83</v>
      </c>
      <c r="S196" s="261">
        <f t="shared" si="123"/>
        <v>0</v>
      </c>
      <c r="T196" s="282">
        <f t="shared" ref="T196:T205" si="174">ROUND(Q196/0.723358,2)</f>
        <v>8.06</v>
      </c>
      <c r="U196" s="261">
        <f>VLOOKUP($A196,[1]Planilha!$A$18:$BK$553,59,FALSE)</f>
        <v>8.06</v>
      </c>
      <c r="V196" s="261">
        <f t="shared" si="124"/>
        <v>0</v>
      </c>
      <c r="W196" s="282">
        <f t="shared" si="139"/>
        <v>5.8</v>
      </c>
      <c r="X196" s="261">
        <f>VLOOKUP($A196,[1]Planilha!$A$18:$BK$553,50,FALSE)</f>
        <v>5.8</v>
      </c>
      <c r="Y196" s="261">
        <f t="shared" si="125"/>
        <v>0</v>
      </c>
      <c r="Z196" s="282">
        <f t="shared" si="140"/>
        <v>8.02</v>
      </c>
      <c r="AA196" s="261">
        <f>VLOOKUP($A196,[1]Planilha!$A$18:$BK$553,58,FALSE)</f>
        <v>8.02</v>
      </c>
      <c r="AB196" s="261">
        <f t="shared" si="126"/>
        <v>0</v>
      </c>
      <c r="AC196" s="282">
        <f t="shared" si="141"/>
        <v>5.47</v>
      </c>
      <c r="AD196" s="261">
        <f>VLOOKUP($A196,[1]Planilha!$A$18:$BK$553,49,FALSE)</f>
        <v>5.47</v>
      </c>
      <c r="AE196" s="261">
        <f t="shared" si="127"/>
        <v>0</v>
      </c>
      <c r="AF196" s="283">
        <f t="shared" si="142"/>
        <v>7.56</v>
      </c>
      <c r="AG196" s="261">
        <f>VLOOKUP($A196,[1]Planilha!$A$18:$BK$553,57,FALSE)</f>
        <v>7.56</v>
      </c>
      <c r="AH196" s="261">
        <f t="shared" si="128"/>
        <v>0</v>
      </c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</row>
    <row r="197" spans="1:46">
      <c r="A197" s="229">
        <v>7891721019845</v>
      </c>
      <c r="B197" s="139">
        <v>1008903550084</v>
      </c>
      <c r="C197" s="126" t="s">
        <v>450</v>
      </c>
      <c r="D197" s="215" t="s">
        <v>631</v>
      </c>
      <c r="E197" s="284">
        <f>K197</f>
        <v>6.50723453316707</v>
      </c>
      <c r="F197" s="261">
        <f>VLOOKUP($A197,[1]Planilha!$A$18:$BK$553,54,FALSE)</f>
        <v>6.59</v>
      </c>
      <c r="G197" s="261">
        <f t="shared" si="119"/>
        <v>-8.2765466832929846E-2</v>
      </c>
      <c r="H197" s="284">
        <f t="shared" si="171"/>
        <v>9</v>
      </c>
      <c r="I197" s="261">
        <f>VLOOKUP($A197,[1]Planilha!$A$18:$BK$553,62,FALSE)</f>
        <v>9.2200000000000006</v>
      </c>
      <c r="J197" s="261">
        <f t="shared" si="120"/>
        <v>-0.22000000000000064</v>
      </c>
      <c r="K197" s="282">
        <f>VLOOKUP(A197,[2]Plan1!$H$2:$J$279,3,FALSE)</f>
        <v>6.50723453316707</v>
      </c>
      <c r="L197" s="261">
        <f>VLOOKUP($A197,[1]Planilha!$A$18:$BK$553,52,FALSE)</f>
        <v>6.51</v>
      </c>
      <c r="M197" s="261">
        <f t="shared" si="121"/>
        <v>-2.7654668329297749E-3</v>
      </c>
      <c r="N197" s="284">
        <f t="shared" si="172"/>
        <v>9</v>
      </c>
      <c r="O197" s="261">
        <f>VLOOKUP($A197,[1]Planilha!$A$18:$BK$553,60,FALSE)</f>
        <v>9</v>
      </c>
      <c r="P197" s="261">
        <f t="shared" si="122"/>
        <v>0</v>
      </c>
      <c r="Q197" s="284">
        <f t="shared" si="173"/>
        <v>6.47</v>
      </c>
      <c r="R197" s="261">
        <f>VLOOKUP($A197,[1]Planilha!$A$18:$BK$553,51,FALSE)</f>
        <v>6.47</v>
      </c>
      <c r="S197" s="261">
        <f t="shared" si="123"/>
        <v>0</v>
      </c>
      <c r="T197" s="284">
        <f t="shared" si="174"/>
        <v>8.94</v>
      </c>
      <c r="U197" s="261">
        <f>VLOOKUP($A197,[1]Planilha!$A$18:$BK$553,59,FALSE)</f>
        <v>8.94</v>
      </c>
      <c r="V197" s="261">
        <f t="shared" si="124"/>
        <v>0</v>
      </c>
      <c r="W197" s="284">
        <f t="shared" si="139"/>
        <v>6.43</v>
      </c>
      <c r="X197" s="261">
        <f>VLOOKUP($A197,[1]Planilha!$A$18:$BK$553,50,FALSE)</f>
        <v>6.43</v>
      </c>
      <c r="Y197" s="261">
        <f t="shared" si="125"/>
        <v>0</v>
      </c>
      <c r="Z197" s="284">
        <f t="shared" si="140"/>
        <v>8.89</v>
      </c>
      <c r="AA197" s="261">
        <f>VLOOKUP($A197,[1]Planilha!$A$18:$BK$553,58,FALSE)</f>
        <v>8.89</v>
      </c>
      <c r="AB197" s="261">
        <f t="shared" si="126"/>
        <v>0</v>
      </c>
      <c r="AC197" s="284">
        <f t="shared" si="141"/>
        <v>6.06</v>
      </c>
      <c r="AD197" s="261">
        <f>VLOOKUP($A197,[1]Planilha!$A$18:$BK$553,49,FALSE)</f>
        <v>6.06</v>
      </c>
      <c r="AE197" s="261">
        <f t="shared" si="127"/>
        <v>0</v>
      </c>
      <c r="AF197" s="285">
        <f t="shared" si="142"/>
        <v>8.3800000000000008</v>
      </c>
      <c r="AG197" s="261">
        <f>VLOOKUP($A197,[1]Planilha!$A$18:$BK$553,57,FALSE)</f>
        <v>8.3800000000000008</v>
      </c>
      <c r="AH197" s="261">
        <f t="shared" si="128"/>
        <v>0</v>
      </c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</row>
    <row r="198" spans="1:46">
      <c r="A198" s="229">
        <v>7891721019890</v>
      </c>
      <c r="B198" s="139">
        <v>1008903550262</v>
      </c>
      <c r="C198" s="126" t="s">
        <v>451</v>
      </c>
      <c r="D198" s="125" t="s">
        <v>457</v>
      </c>
      <c r="E198" s="284">
        <f>ROUND(K198*1.025,2)</f>
        <v>7.28</v>
      </c>
      <c r="F198" s="261">
        <f>VLOOKUP($A198,[1]Planilha!$A$18:$BK$553,54,FALSE)</f>
        <v>7.19</v>
      </c>
      <c r="G198" s="261">
        <f t="shared" si="119"/>
        <v>8.9999999999999858E-2</v>
      </c>
      <c r="H198" s="284">
        <f>ROUND(E198/0.723358,2)</f>
        <v>10.06</v>
      </c>
      <c r="I198" s="261">
        <f>VLOOKUP($A198,[1]Planilha!$A$18:$BK$553,62,FALSE)</f>
        <v>10.06</v>
      </c>
      <c r="J198" s="261">
        <f t="shared" si="120"/>
        <v>0</v>
      </c>
      <c r="K198" s="282">
        <f>VLOOKUP(A198,[2]Plan1!$H$2:$J$279,3,FALSE)</f>
        <v>7.1052514139409899</v>
      </c>
      <c r="L198" s="261">
        <f>VLOOKUP($A198,[1]Planilha!$A$18:$BK$553,52,FALSE)</f>
        <v>7.11</v>
      </c>
      <c r="M198" s="261">
        <f t="shared" si="121"/>
        <v>-4.7485860590104068E-3</v>
      </c>
      <c r="N198" s="284">
        <f t="shared" si="172"/>
        <v>9.82</v>
      </c>
      <c r="O198" s="261">
        <f>VLOOKUP($A198,[1]Planilha!$A$18:$BK$553,60,FALSE)</f>
        <v>9.82</v>
      </c>
      <c r="P198" s="261">
        <f t="shared" si="122"/>
        <v>0</v>
      </c>
      <c r="Q198" s="284">
        <f t="shared" si="173"/>
        <v>7.06</v>
      </c>
      <c r="R198" s="261">
        <f>VLOOKUP($A198,[1]Planilha!$A$18:$BK$553,51,FALSE)</f>
        <v>7.06</v>
      </c>
      <c r="S198" s="261">
        <f t="shared" si="123"/>
        <v>0</v>
      </c>
      <c r="T198" s="284">
        <f t="shared" si="174"/>
        <v>9.76</v>
      </c>
      <c r="U198" s="261">
        <f>VLOOKUP($A198,[1]Planilha!$A$18:$BK$553,59,FALSE)</f>
        <v>9.76</v>
      </c>
      <c r="V198" s="261">
        <f t="shared" si="124"/>
        <v>0</v>
      </c>
      <c r="W198" s="284">
        <f t="shared" si="139"/>
        <v>7.02</v>
      </c>
      <c r="X198" s="261">
        <f>VLOOKUP($A198,[1]Planilha!$A$18:$BK$553,50,FALSE)</f>
        <v>7.02</v>
      </c>
      <c r="Y198" s="261">
        <f t="shared" si="125"/>
        <v>0</v>
      </c>
      <c r="Z198" s="284">
        <f t="shared" si="140"/>
        <v>9.6999999999999993</v>
      </c>
      <c r="AA198" s="261">
        <f>VLOOKUP($A198,[1]Planilha!$A$18:$BK$553,58,FALSE)</f>
        <v>9.6999999999999993</v>
      </c>
      <c r="AB198" s="261">
        <f t="shared" si="126"/>
        <v>0</v>
      </c>
      <c r="AC198" s="284">
        <f t="shared" si="141"/>
        <v>6.62</v>
      </c>
      <c r="AD198" s="261">
        <f>VLOOKUP($A198,[1]Planilha!$A$18:$BK$553,49,FALSE)</f>
        <v>6.62</v>
      </c>
      <c r="AE198" s="261">
        <f t="shared" si="127"/>
        <v>0</v>
      </c>
      <c r="AF198" s="285">
        <f t="shared" si="142"/>
        <v>9.15</v>
      </c>
      <c r="AG198" s="261">
        <f>VLOOKUP($A198,[1]Planilha!$A$18:$BK$553,57,FALSE)</f>
        <v>9.15</v>
      </c>
      <c r="AH198" s="261">
        <f t="shared" si="128"/>
        <v>0</v>
      </c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</row>
    <row r="199" spans="1:46">
      <c r="A199" s="229">
        <v>7891721019944</v>
      </c>
      <c r="B199" s="177">
        <v>1008903550467</v>
      </c>
      <c r="C199" s="147" t="s">
        <v>464</v>
      </c>
      <c r="D199" s="149" t="s">
        <v>462</v>
      </c>
      <c r="E199" s="284">
        <f>ROUND(K199*1.025,2)</f>
        <v>8.77</v>
      </c>
      <c r="F199" s="261">
        <f>VLOOKUP($A199,[1]Planilha!$A$18:$BK$553,54,FALSE)</f>
        <v>8.66</v>
      </c>
      <c r="G199" s="261">
        <f t="shared" si="119"/>
        <v>0.10999999999999943</v>
      </c>
      <c r="H199" s="284">
        <f>ROUND(E199/0.723358,2)</f>
        <v>12.12</v>
      </c>
      <c r="I199" s="261">
        <f>VLOOKUP($A199,[1]Planilha!$A$18:$BK$553,62,FALSE)</f>
        <v>12.12</v>
      </c>
      <c r="J199" s="261">
        <f t="shared" si="120"/>
        <v>0</v>
      </c>
      <c r="K199" s="282">
        <f>VLOOKUP(A199,[2]Plan1!$H$2:$J$279,3,FALSE)</f>
        <v>8.5546821588676121</v>
      </c>
      <c r="L199" s="261">
        <f>VLOOKUP($A199,[1]Planilha!$A$18:$BK$553,52,FALSE)</f>
        <v>8.5500000000000007</v>
      </c>
      <c r="M199" s="261">
        <f t="shared" si="121"/>
        <v>4.6821588676113635E-3</v>
      </c>
      <c r="N199" s="284">
        <f t="shared" si="172"/>
        <v>11.83</v>
      </c>
      <c r="O199" s="261">
        <f>VLOOKUP($A199,[1]Planilha!$A$18:$BK$553,60,FALSE)</f>
        <v>11.83</v>
      </c>
      <c r="P199" s="261">
        <f t="shared" si="122"/>
        <v>0</v>
      </c>
      <c r="Q199" s="284">
        <f t="shared" si="173"/>
        <v>8.5</v>
      </c>
      <c r="R199" s="261">
        <f>VLOOKUP($A199,[1]Planilha!$A$18:$BK$553,51,FALSE)</f>
        <v>8.5</v>
      </c>
      <c r="S199" s="261">
        <f t="shared" si="123"/>
        <v>0</v>
      </c>
      <c r="T199" s="284">
        <f t="shared" si="174"/>
        <v>11.75</v>
      </c>
      <c r="U199" s="261">
        <f>VLOOKUP($A199,[1]Planilha!$A$18:$BK$553,59,FALSE)</f>
        <v>11.75</v>
      </c>
      <c r="V199" s="261">
        <f t="shared" si="124"/>
        <v>0</v>
      </c>
      <c r="W199" s="284">
        <f t="shared" si="139"/>
        <v>8.4499999999999993</v>
      </c>
      <c r="X199" s="261">
        <f>VLOOKUP($A199,[1]Planilha!$A$18:$BK$553,50,FALSE)</f>
        <v>8.4499999999999993</v>
      </c>
      <c r="Y199" s="261">
        <f t="shared" si="125"/>
        <v>0</v>
      </c>
      <c r="Z199" s="284">
        <f t="shared" si="140"/>
        <v>11.68</v>
      </c>
      <c r="AA199" s="261">
        <f>VLOOKUP($A199,[1]Planilha!$A$18:$BK$553,58,FALSE)</f>
        <v>11.68</v>
      </c>
      <c r="AB199" s="261">
        <f t="shared" si="126"/>
        <v>0</v>
      </c>
      <c r="AC199" s="284">
        <f t="shared" si="141"/>
        <v>7.97</v>
      </c>
      <c r="AD199" s="261">
        <f>VLOOKUP($A199,[1]Planilha!$A$18:$BK$553,49,FALSE)</f>
        <v>7.97</v>
      </c>
      <c r="AE199" s="261">
        <f t="shared" si="127"/>
        <v>0</v>
      </c>
      <c r="AF199" s="285">
        <f t="shared" si="142"/>
        <v>11.02</v>
      </c>
      <c r="AG199" s="261">
        <f>VLOOKUP($A199,[1]Planilha!$A$18:$BK$553,57,FALSE)</f>
        <v>11.02</v>
      </c>
      <c r="AH199" s="261">
        <f t="shared" si="128"/>
        <v>0</v>
      </c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</row>
    <row r="200" spans="1:46">
      <c r="A200" s="229">
        <v>7891721019999</v>
      </c>
      <c r="B200" s="177">
        <v>1008903550130</v>
      </c>
      <c r="C200" s="147" t="s">
        <v>452</v>
      </c>
      <c r="D200" s="149" t="s">
        <v>755</v>
      </c>
      <c r="E200" s="284">
        <f>K200</f>
        <v>5.5341901169925549</v>
      </c>
      <c r="F200" s="261">
        <f>VLOOKUP($A200,[1]Planilha!$A$18:$BK$553,54,FALSE)</f>
        <v>5.6</v>
      </c>
      <c r="G200" s="261">
        <f t="shared" ref="G200:G263" si="175">E200-F200</f>
        <v>-6.5809883007444725E-2</v>
      </c>
      <c r="H200" s="284">
        <f>N200</f>
        <v>7.65</v>
      </c>
      <c r="I200" s="261">
        <f>VLOOKUP($A200,[1]Planilha!$A$18:$BK$553,62,FALSE)</f>
        <v>7.84</v>
      </c>
      <c r="J200" s="261">
        <f t="shared" ref="J200:J263" si="176">H200-I200</f>
        <v>-0.1899999999999995</v>
      </c>
      <c r="K200" s="282">
        <f>VLOOKUP(A200,[2]Plan1!$H$2:$J$279,3,FALSE)</f>
        <v>5.5341901169925549</v>
      </c>
      <c r="L200" s="261">
        <f>VLOOKUP($A200,[1]Planilha!$A$18:$BK$553,52,FALSE)</f>
        <v>5.53</v>
      </c>
      <c r="M200" s="261">
        <f t="shared" ref="M200:M263" si="177">K200-L200</f>
        <v>4.1901169925546711E-3</v>
      </c>
      <c r="N200" s="284">
        <f>ROUND(K200/0.723358,2)</f>
        <v>7.65</v>
      </c>
      <c r="O200" s="261">
        <f>VLOOKUP($A200,[1]Planilha!$A$18:$BK$553,60,FALSE)</f>
        <v>7.65</v>
      </c>
      <c r="P200" s="261">
        <f t="shared" ref="P200:P263" si="178">N200-O200</f>
        <v>0</v>
      </c>
      <c r="Q200" s="284">
        <f t="shared" si="173"/>
        <v>5.5</v>
      </c>
      <c r="R200" s="261">
        <f>VLOOKUP($A200,[1]Planilha!$A$18:$BK$553,51,FALSE)</f>
        <v>5.5</v>
      </c>
      <c r="S200" s="261">
        <f t="shared" ref="S200:S263" si="179">Q200-R200</f>
        <v>0</v>
      </c>
      <c r="T200" s="284">
        <f t="shared" si="174"/>
        <v>7.6</v>
      </c>
      <c r="U200" s="261">
        <f>VLOOKUP($A200,[1]Planilha!$A$18:$BK$553,59,FALSE)</f>
        <v>7.6</v>
      </c>
      <c r="V200" s="261">
        <f t="shared" ref="V200:V263" si="180">T200-U200</f>
        <v>0</v>
      </c>
      <c r="W200" s="284">
        <f t="shared" si="139"/>
        <v>5.47</v>
      </c>
      <c r="X200" s="261">
        <f>VLOOKUP($A200,[1]Planilha!$A$18:$BK$553,50,FALSE)</f>
        <v>5.47</v>
      </c>
      <c r="Y200" s="261">
        <f t="shared" ref="Y200:Y263" si="181">W200-X200</f>
        <v>0</v>
      </c>
      <c r="Z200" s="284">
        <f t="shared" si="140"/>
        <v>7.56</v>
      </c>
      <c r="AA200" s="261">
        <f>VLOOKUP($A200,[1]Planilha!$A$18:$BK$553,58,FALSE)</f>
        <v>7.56</v>
      </c>
      <c r="AB200" s="261">
        <f t="shared" ref="AB200:AB263" si="182">Z200-AA200</f>
        <v>0</v>
      </c>
      <c r="AC200" s="284">
        <f t="shared" si="141"/>
        <v>5.16</v>
      </c>
      <c r="AD200" s="261">
        <f>VLOOKUP($A200,[1]Planilha!$A$18:$BK$553,49,FALSE)</f>
        <v>5.16</v>
      </c>
      <c r="AE200" s="261">
        <f t="shared" ref="AE200:AE263" si="183">AC200-AD200</f>
        <v>0</v>
      </c>
      <c r="AF200" s="285">
        <f t="shared" si="142"/>
        <v>7.13</v>
      </c>
      <c r="AG200" s="261">
        <f>VLOOKUP($A200,[1]Planilha!$A$18:$BK$553,57,FALSE)</f>
        <v>7.13</v>
      </c>
      <c r="AH200" s="261">
        <f t="shared" ref="AH200:AH263" si="184">AF200-AG200</f>
        <v>0</v>
      </c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</row>
    <row r="201" spans="1:46">
      <c r="A201" s="229">
        <v>7891721020049</v>
      </c>
      <c r="B201" s="177">
        <v>1008903550033</v>
      </c>
      <c r="C201" s="147" t="s">
        <v>465</v>
      </c>
      <c r="D201" s="149" t="s">
        <v>463</v>
      </c>
      <c r="E201" s="284">
        <f>ROUND(K201*1.025,2)</f>
        <v>11.16</v>
      </c>
      <c r="F201" s="261">
        <f>VLOOKUP($A201,[1]Planilha!$A$18:$BK$553,54,FALSE)</f>
        <v>11.02</v>
      </c>
      <c r="G201" s="261">
        <f t="shared" si="175"/>
        <v>0.14000000000000057</v>
      </c>
      <c r="H201" s="284">
        <f>ROUND(E201/0.723358,2)</f>
        <v>15.43</v>
      </c>
      <c r="I201" s="261">
        <f>VLOOKUP($A201,[1]Planilha!$A$18:$BK$553,62,FALSE)</f>
        <v>15.43</v>
      </c>
      <c r="J201" s="261">
        <f t="shared" si="176"/>
        <v>0</v>
      </c>
      <c r="K201" s="282">
        <f>VLOOKUP(A201,[2]Plan1!$H$2:$J$279,3,FALSE)</f>
        <v>10.885934405952387</v>
      </c>
      <c r="L201" s="261">
        <f>VLOOKUP($A201,[1]Planilha!$A$18:$BK$553,52,FALSE)</f>
        <v>10.89</v>
      </c>
      <c r="M201" s="261">
        <f t="shared" si="177"/>
        <v>-4.0655940476135299E-3</v>
      </c>
      <c r="N201" s="284">
        <f t="shared" si="172"/>
        <v>15.05</v>
      </c>
      <c r="O201" s="261">
        <f>VLOOKUP($A201,[1]Planilha!$A$18:$BK$553,60,FALSE)</f>
        <v>15.05</v>
      </c>
      <c r="P201" s="261">
        <f t="shared" si="178"/>
        <v>0</v>
      </c>
      <c r="Q201" s="284">
        <f t="shared" si="173"/>
        <v>10.82</v>
      </c>
      <c r="R201" s="261">
        <f>VLOOKUP($A201,[1]Planilha!$A$18:$BK$553,51,FALSE)</f>
        <v>10.82</v>
      </c>
      <c r="S201" s="261">
        <f t="shared" si="179"/>
        <v>0</v>
      </c>
      <c r="T201" s="284">
        <f t="shared" si="174"/>
        <v>14.96</v>
      </c>
      <c r="U201" s="261">
        <f>VLOOKUP($A201,[1]Planilha!$A$18:$BK$553,59,FALSE)</f>
        <v>14.96</v>
      </c>
      <c r="V201" s="261">
        <f t="shared" si="180"/>
        <v>0</v>
      </c>
      <c r="W201" s="284">
        <f t="shared" si="139"/>
        <v>10.75</v>
      </c>
      <c r="X201" s="261">
        <f>VLOOKUP($A201,[1]Planilha!$A$18:$BK$553,50,FALSE)</f>
        <v>10.75</v>
      </c>
      <c r="Y201" s="261">
        <f t="shared" si="181"/>
        <v>0</v>
      </c>
      <c r="Z201" s="284">
        <f t="shared" si="140"/>
        <v>14.86</v>
      </c>
      <c r="AA201" s="261">
        <f>VLOOKUP($A201,[1]Planilha!$A$18:$BK$553,58,FALSE)</f>
        <v>14.86</v>
      </c>
      <c r="AB201" s="261">
        <f t="shared" si="182"/>
        <v>0</v>
      </c>
      <c r="AC201" s="284">
        <f t="shared" si="141"/>
        <v>10.14</v>
      </c>
      <c r="AD201" s="261">
        <f>VLOOKUP($A201,[1]Planilha!$A$18:$BK$553,49,FALSE)</f>
        <v>10.14</v>
      </c>
      <c r="AE201" s="261">
        <f t="shared" si="183"/>
        <v>0</v>
      </c>
      <c r="AF201" s="285">
        <f t="shared" si="142"/>
        <v>14.02</v>
      </c>
      <c r="AG201" s="261">
        <f>VLOOKUP($A201,[1]Planilha!$A$18:$BK$553,57,FALSE)</f>
        <v>14.02</v>
      </c>
      <c r="AH201" s="261">
        <f t="shared" si="184"/>
        <v>0</v>
      </c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</row>
    <row r="202" spans="1:46">
      <c r="A202" s="229">
        <v>7891721020094</v>
      </c>
      <c r="B202" s="139">
        <v>1008903550319</v>
      </c>
      <c r="C202" s="126" t="s">
        <v>453</v>
      </c>
      <c r="D202" s="125" t="s">
        <v>458</v>
      </c>
      <c r="E202" s="284">
        <f>ROUND(K202*1.025,2)</f>
        <v>8.32</v>
      </c>
      <c r="F202" s="261">
        <f>VLOOKUP($A202,[1]Planilha!$A$18:$BK$553,54,FALSE)</f>
        <v>8.2200000000000006</v>
      </c>
      <c r="G202" s="261">
        <f t="shared" si="175"/>
        <v>9.9999999999999645E-2</v>
      </c>
      <c r="H202" s="284">
        <f>ROUND(E202/0.723358,2)</f>
        <v>11.5</v>
      </c>
      <c r="I202" s="261">
        <f>VLOOKUP($A202,[1]Planilha!$A$18:$BK$553,62,FALSE)</f>
        <v>11.5</v>
      </c>
      <c r="J202" s="261">
        <f t="shared" si="176"/>
        <v>0</v>
      </c>
      <c r="K202" s="282">
        <f>VLOOKUP(A202,[2]Plan1!$H$2:$J$279,3,FALSE)</f>
        <v>8.1188393474561096</v>
      </c>
      <c r="L202" s="261">
        <f>VLOOKUP($A202,[1]Planilha!$A$18:$BK$553,52,FALSE)</f>
        <v>8.1199999999999992</v>
      </c>
      <c r="M202" s="261">
        <f t="shared" si="177"/>
        <v>-1.1606525438896398E-3</v>
      </c>
      <c r="N202" s="284">
        <f t="shared" si="172"/>
        <v>11.22</v>
      </c>
      <c r="O202" s="261">
        <f>VLOOKUP($A202,[1]Planilha!$A$18:$BK$553,60,FALSE)</f>
        <v>11.22</v>
      </c>
      <c r="P202" s="261">
        <f t="shared" si="178"/>
        <v>0</v>
      </c>
      <c r="Q202" s="284">
        <f t="shared" si="173"/>
        <v>8.07</v>
      </c>
      <c r="R202" s="261">
        <f>VLOOKUP($A202,[1]Planilha!$A$18:$BK$553,51,FALSE)</f>
        <v>8.07</v>
      </c>
      <c r="S202" s="261">
        <f t="shared" si="179"/>
        <v>0</v>
      </c>
      <c r="T202" s="284">
        <f t="shared" si="174"/>
        <v>11.16</v>
      </c>
      <c r="U202" s="261">
        <f>VLOOKUP($A202,[1]Planilha!$A$18:$BK$553,59,FALSE)</f>
        <v>11.16</v>
      </c>
      <c r="V202" s="261">
        <f t="shared" si="180"/>
        <v>0</v>
      </c>
      <c r="W202" s="284">
        <f t="shared" si="139"/>
        <v>8.02</v>
      </c>
      <c r="X202" s="261">
        <f>VLOOKUP($A202,[1]Planilha!$A$18:$BK$553,50,FALSE)</f>
        <v>8.02</v>
      </c>
      <c r="Y202" s="261">
        <f t="shared" si="181"/>
        <v>0</v>
      </c>
      <c r="Z202" s="284">
        <f t="shared" si="140"/>
        <v>11.09</v>
      </c>
      <c r="AA202" s="261">
        <f>VLOOKUP($A202,[1]Planilha!$A$18:$BK$553,58,FALSE)</f>
        <v>11.09</v>
      </c>
      <c r="AB202" s="261">
        <f t="shared" si="182"/>
        <v>0</v>
      </c>
      <c r="AC202" s="495">
        <v>7.56</v>
      </c>
      <c r="AD202" s="261">
        <f>VLOOKUP($A202,[1]Planilha!$A$18:$BK$553,49,FALSE)</f>
        <v>7.56</v>
      </c>
      <c r="AE202" s="261">
        <f t="shared" si="183"/>
        <v>0</v>
      </c>
      <c r="AF202" s="285">
        <f t="shared" si="142"/>
        <v>10.45</v>
      </c>
      <c r="AG202" s="261">
        <f>VLOOKUP($A202,[1]Planilha!$A$18:$BK$553,57,FALSE)</f>
        <v>10.45</v>
      </c>
      <c r="AH202" s="261">
        <f t="shared" si="184"/>
        <v>0</v>
      </c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</row>
    <row r="203" spans="1:46">
      <c r="A203" s="229">
        <v>7891721020148</v>
      </c>
      <c r="B203" s="139">
        <v>1008903550191</v>
      </c>
      <c r="C203" s="126" t="s">
        <v>454</v>
      </c>
      <c r="D203" s="215" t="s">
        <v>643</v>
      </c>
      <c r="E203" s="284">
        <f>ROUND(K203*1.025,2)</f>
        <v>8.9700000000000006</v>
      </c>
      <c r="F203" s="261">
        <f>VLOOKUP($A203,[1]Planilha!$A$18:$BK$553,54,FALSE)</f>
        <v>8.86</v>
      </c>
      <c r="G203" s="261">
        <f t="shared" si="175"/>
        <v>0.11000000000000121</v>
      </c>
      <c r="H203" s="284">
        <f>ROUND(E203/0.723358,2)</f>
        <v>12.4</v>
      </c>
      <c r="I203" s="261">
        <f>VLOOKUP($A203,[1]Planilha!$A$18:$BK$553,62,FALSE)</f>
        <v>12.4</v>
      </c>
      <c r="J203" s="261">
        <f t="shared" si="176"/>
        <v>0</v>
      </c>
      <c r="K203" s="282">
        <f>VLOOKUP(A203,[2]Plan1!$H$2:$J$279,3,FALSE)</f>
        <v>8.7472638662354854</v>
      </c>
      <c r="L203" s="261">
        <f>VLOOKUP($A203,[1]Planilha!$A$18:$BK$553,52,FALSE)</f>
        <v>8.75</v>
      </c>
      <c r="M203" s="261">
        <f t="shared" si="177"/>
        <v>-2.7361337645146477E-3</v>
      </c>
      <c r="N203" s="284">
        <f t="shared" si="172"/>
        <v>12.09</v>
      </c>
      <c r="O203" s="261">
        <f>VLOOKUP($A203,[1]Planilha!$A$18:$BK$553,60,FALSE)</f>
        <v>12.09</v>
      </c>
      <c r="P203" s="261">
        <f t="shared" si="178"/>
        <v>0</v>
      </c>
      <c r="Q203" s="284">
        <f t="shared" si="173"/>
        <v>8.69</v>
      </c>
      <c r="R203" s="261">
        <f>VLOOKUP($A203,[1]Planilha!$A$18:$BK$553,51,FALSE)</f>
        <v>8.69</v>
      </c>
      <c r="S203" s="261">
        <f t="shared" si="179"/>
        <v>0</v>
      </c>
      <c r="T203" s="284">
        <f t="shared" si="174"/>
        <v>12.01</v>
      </c>
      <c r="U203" s="261">
        <f>VLOOKUP($A203,[1]Planilha!$A$18:$BK$553,59,FALSE)</f>
        <v>12.01</v>
      </c>
      <c r="V203" s="261">
        <f t="shared" si="180"/>
        <v>0</v>
      </c>
      <c r="W203" s="284">
        <f t="shared" si="139"/>
        <v>8.64</v>
      </c>
      <c r="X203" s="261">
        <f>VLOOKUP($A203,[1]Planilha!$A$18:$BK$553,50,FALSE)</f>
        <v>8.64</v>
      </c>
      <c r="Y203" s="261">
        <f t="shared" si="181"/>
        <v>0</v>
      </c>
      <c r="Z203" s="284">
        <f t="shared" si="140"/>
        <v>11.94</v>
      </c>
      <c r="AA203" s="261">
        <f>VLOOKUP($A203,[1]Planilha!$A$18:$BK$553,58,FALSE)</f>
        <v>11.94</v>
      </c>
      <c r="AB203" s="261">
        <f t="shared" si="182"/>
        <v>0</v>
      </c>
      <c r="AC203" s="284">
        <f t="shared" si="141"/>
        <v>8.15</v>
      </c>
      <c r="AD203" s="261">
        <f>VLOOKUP($A203,[1]Planilha!$A$18:$BK$553,49,FALSE)</f>
        <v>8.15</v>
      </c>
      <c r="AE203" s="261">
        <f t="shared" si="183"/>
        <v>0</v>
      </c>
      <c r="AF203" s="285">
        <f t="shared" si="142"/>
        <v>11.27</v>
      </c>
      <c r="AG203" s="261">
        <f>VLOOKUP($A203,[1]Planilha!$A$18:$BK$553,57,FALSE)</f>
        <v>11.27</v>
      </c>
      <c r="AH203" s="261">
        <f t="shared" si="184"/>
        <v>0</v>
      </c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</row>
    <row r="204" spans="1:46">
      <c r="A204" s="229">
        <v>7891721020193</v>
      </c>
      <c r="B204" s="139">
        <v>1008903550361</v>
      </c>
      <c r="C204" s="126" t="s">
        <v>455</v>
      </c>
      <c r="D204" s="125" t="s">
        <v>459</v>
      </c>
      <c r="E204" s="284">
        <f>ROUND(K204*1.025,2)</f>
        <v>11.31</v>
      </c>
      <c r="F204" s="261">
        <f>VLOOKUP($A204,[1]Planilha!$A$18:$BK$553,54,FALSE)</f>
        <v>11.17</v>
      </c>
      <c r="G204" s="261">
        <f t="shared" si="175"/>
        <v>0.14000000000000057</v>
      </c>
      <c r="H204" s="284">
        <f>ROUND(E204/0.723358,2)</f>
        <v>15.64</v>
      </c>
      <c r="I204" s="261">
        <f>VLOOKUP($A204,[1]Planilha!$A$18:$BK$553,62,FALSE)</f>
        <v>15.64</v>
      </c>
      <c r="J204" s="261">
        <f t="shared" si="176"/>
        <v>0</v>
      </c>
      <c r="K204" s="282">
        <f>VLOOKUP(A204,[2]Plan1!$H$2:$J$279,3,FALSE)</f>
        <v>11.037972595979657</v>
      </c>
      <c r="L204" s="261">
        <f>VLOOKUP($A204,[1]Planilha!$A$18:$BK$553,52,FALSE)</f>
        <v>11.04</v>
      </c>
      <c r="M204" s="261">
        <f t="shared" si="177"/>
        <v>-2.0274040203425159E-3</v>
      </c>
      <c r="N204" s="284">
        <f t="shared" si="172"/>
        <v>15.26</v>
      </c>
      <c r="O204" s="261">
        <f>VLOOKUP($A204,[1]Planilha!$A$18:$BK$553,60,FALSE)</f>
        <v>15.26</v>
      </c>
      <c r="P204" s="261">
        <f t="shared" si="178"/>
        <v>0</v>
      </c>
      <c r="Q204" s="284">
        <f t="shared" si="173"/>
        <v>10.97</v>
      </c>
      <c r="R204" s="261">
        <f>VLOOKUP($A204,[1]Planilha!$A$18:$BK$553,51,FALSE)</f>
        <v>10.97</v>
      </c>
      <c r="S204" s="261">
        <f t="shared" si="179"/>
        <v>0</v>
      </c>
      <c r="T204" s="284">
        <f t="shared" si="174"/>
        <v>15.17</v>
      </c>
      <c r="U204" s="261">
        <f>VLOOKUP($A204,[1]Planilha!$A$18:$BK$553,59,FALSE)</f>
        <v>15.17</v>
      </c>
      <c r="V204" s="261">
        <f t="shared" si="180"/>
        <v>0</v>
      </c>
      <c r="W204" s="284">
        <f t="shared" si="139"/>
        <v>10.9</v>
      </c>
      <c r="X204" s="261">
        <f>VLOOKUP($A204,[1]Planilha!$A$18:$BK$553,50,FALSE)</f>
        <v>10.9</v>
      </c>
      <c r="Y204" s="261">
        <f t="shared" si="181"/>
        <v>0</v>
      </c>
      <c r="Z204" s="284">
        <f t="shared" si="140"/>
        <v>15.07</v>
      </c>
      <c r="AA204" s="261">
        <f>VLOOKUP($A204,[1]Planilha!$A$18:$BK$553,58,FALSE)</f>
        <v>15.07</v>
      </c>
      <c r="AB204" s="261">
        <f t="shared" si="182"/>
        <v>0</v>
      </c>
      <c r="AC204" s="495">
        <v>10.28</v>
      </c>
      <c r="AD204" s="261">
        <f>VLOOKUP($A204,[1]Planilha!$A$18:$BK$553,49,FALSE)</f>
        <v>10.28</v>
      </c>
      <c r="AE204" s="261">
        <f t="shared" si="183"/>
        <v>0</v>
      </c>
      <c r="AF204" s="285">
        <f t="shared" si="142"/>
        <v>14.21</v>
      </c>
      <c r="AG204" s="261">
        <f>VLOOKUP($A204,[1]Planilha!$A$18:$BK$553,57,FALSE)</f>
        <v>14.21</v>
      </c>
      <c r="AH204" s="261">
        <f t="shared" si="184"/>
        <v>0</v>
      </c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</row>
    <row r="205" spans="1:46">
      <c r="A205" s="229">
        <v>7891721020247</v>
      </c>
      <c r="B205" s="139">
        <v>1008903550556</v>
      </c>
      <c r="C205" s="128" t="s">
        <v>456</v>
      </c>
      <c r="D205" s="125" t="s">
        <v>460</v>
      </c>
      <c r="E205" s="289">
        <f>ROUND(K205*1.025,2)</f>
        <v>19.559999999999999</v>
      </c>
      <c r="F205" s="261">
        <f>VLOOKUP($A205,[1]Planilha!$A$18:$BK$553,54,FALSE)</f>
        <v>19.32</v>
      </c>
      <c r="G205" s="261">
        <f t="shared" si="175"/>
        <v>0.23999999999999844</v>
      </c>
      <c r="H205" s="289">
        <f>ROUND(E205/0.723358,2)</f>
        <v>27.04</v>
      </c>
      <c r="I205" s="261">
        <f>VLOOKUP($A205,[1]Planilha!$A$18:$BK$553,62,FALSE)</f>
        <v>27.04</v>
      </c>
      <c r="J205" s="261">
        <f t="shared" si="176"/>
        <v>0</v>
      </c>
      <c r="K205" s="282">
        <f>VLOOKUP(A205,[2]Plan1!$H$2:$J$279,3,FALSE)</f>
        <v>19.085860788089704</v>
      </c>
      <c r="L205" s="261">
        <f>VLOOKUP($A205,[1]Planilha!$A$18:$BK$553,52,FALSE)</f>
        <v>19.09</v>
      </c>
      <c r="M205" s="261">
        <f t="shared" si="177"/>
        <v>-4.1392119102958702E-3</v>
      </c>
      <c r="N205" s="490">
        <v>26.38</v>
      </c>
      <c r="O205" s="261">
        <f>VLOOKUP($A205,[1]Planilha!$A$18:$BK$553,60,FALSE)</f>
        <v>26.38</v>
      </c>
      <c r="P205" s="261">
        <f t="shared" si="178"/>
        <v>0</v>
      </c>
      <c r="Q205" s="289">
        <f t="shared" si="173"/>
        <v>18.97</v>
      </c>
      <c r="R205" s="261">
        <f>VLOOKUP($A205,[1]Planilha!$A$18:$BK$553,51,FALSE)</f>
        <v>18.97</v>
      </c>
      <c r="S205" s="261">
        <f t="shared" si="179"/>
        <v>0</v>
      </c>
      <c r="T205" s="289">
        <f t="shared" si="174"/>
        <v>26.22</v>
      </c>
      <c r="U205" s="261">
        <f>VLOOKUP($A205,[1]Planilha!$A$18:$BK$553,59,FALSE)</f>
        <v>26.22</v>
      </c>
      <c r="V205" s="261">
        <f t="shared" si="180"/>
        <v>0</v>
      </c>
      <c r="W205" s="289">
        <f t="shared" si="139"/>
        <v>18.86</v>
      </c>
      <c r="X205" s="261">
        <f>VLOOKUP($A205,[1]Planilha!$A$18:$BK$553,50,FALSE)</f>
        <v>18.86</v>
      </c>
      <c r="Y205" s="261">
        <f t="shared" si="181"/>
        <v>0</v>
      </c>
      <c r="Z205" s="289">
        <f t="shared" si="140"/>
        <v>26.07</v>
      </c>
      <c r="AA205" s="261">
        <f>VLOOKUP($A205,[1]Planilha!$A$18:$BK$553,58,FALSE)</f>
        <v>26.07</v>
      </c>
      <c r="AB205" s="261">
        <f t="shared" si="182"/>
        <v>0</v>
      </c>
      <c r="AC205" s="289">
        <f t="shared" si="141"/>
        <v>17.78</v>
      </c>
      <c r="AD205" s="261">
        <f>VLOOKUP($A205,[1]Planilha!$A$18:$BK$553,49,FALSE)</f>
        <v>17.78</v>
      </c>
      <c r="AE205" s="261">
        <f t="shared" si="183"/>
        <v>0</v>
      </c>
      <c r="AF205" s="290">
        <f t="shared" si="142"/>
        <v>24.58</v>
      </c>
      <c r="AG205" s="261">
        <f>VLOOKUP($A205,[1]Planilha!$A$18:$BK$553,57,FALSE)</f>
        <v>24.58</v>
      </c>
      <c r="AH205" s="261">
        <f t="shared" si="184"/>
        <v>0</v>
      </c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</row>
    <row r="206" spans="1:46" ht="13.5" thickBot="1">
      <c r="A206" s="229"/>
      <c r="B206" s="152"/>
      <c r="C206" s="152"/>
      <c r="D206" s="166"/>
      <c r="E206" s="167"/>
      <c r="F206" s="261" t="e">
        <f>VLOOKUP($A206,[1]Planilha!$A$18:$BK$553,54,FALSE)</f>
        <v>#N/A</v>
      </c>
      <c r="G206" s="261" t="e">
        <f t="shared" si="175"/>
        <v>#N/A</v>
      </c>
      <c r="H206" s="168"/>
      <c r="I206" s="261" t="e">
        <f>VLOOKUP($A206,[1]Planilha!$A$18:$BK$553,62,FALSE)</f>
        <v>#N/A</v>
      </c>
      <c r="J206" s="261" t="e">
        <f t="shared" si="176"/>
        <v>#N/A</v>
      </c>
      <c r="K206" s="167"/>
      <c r="L206" s="261" t="e">
        <f>VLOOKUP($A206,[1]Planilha!$A$18:$BK$553,52,FALSE)</f>
        <v>#N/A</v>
      </c>
      <c r="M206" s="261" t="e">
        <f t="shared" si="177"/>
        <v>#N/A</v>
      </c>
      <c r="N206" s="168"/>
      <c r="O206" s="261" t="e">
        <f>VLOOKUP($A206,[1]Planilha!$A$18:$BK$553,60,FALSE)</f>
        <v>#N/A</v>
      </c>
      <c r="P206" s="261" t="e">
        <f t="shared" si="178"/>
        <v>#N/A</v>
      </c>
      <c r="Q206" s="167"/>
      <c r="R206" s="261" t="e">
        <f>VLOOKUP($A206,[1]Planilha!$A$18:$BK$553,51,FALSE)</f>
        <v>#N/A</v>
      </c>
      <c r="S206" s="261" t="e">
        <f t="shared" si="179"/>
        <v>#N/A</v>
      </c>
      <c r="T206" s="168"/>
      <c r="U206" s="261" t="e">
        <f>VLOOKUP($A206,[1]Planilha!$A$18:$BK$553,59,FALSE)</f>
        <v>#N/A</v>
      </c>
      <c r="V206" s="261" t="e">
        <f t="shared" si="180"/>
        <v>#N/A</v>
      </c>
      <c r="W206" s="167"/>
      <c r="X206" s="261" t="e">
        <f>VLOOKUP($A206,[1]Planilha!$A$18:$BK$553,50,FALSE)</f>
        <v>#N/A</v>
      </c>
      <c r="Y206" s="261" t="e">
        <f t="shared" si="181"/>
        <v>#N/A</v>
      </c>
      <c r="Z206" s="168"/>
      <c r="AA206" s="261" t="e">
        <f>VLOOKUP($A206,[1]Planilha!$A$18:$BK$553,58,FALSE)</f>
        <v>#N/A</v>
      </c>
      <c r="AB206" s="261" t="e">
        <f t="shared" si="182"/>
        <v>#N/A</v>
      </c>
      <c r="AC206" s="167"/>
      <c r="AD206" s="261" t="e">
        <f>VLOOKUP($A206,[1]Planilha!$A$18:$BK$553,49,FALSE)</f>
        <v>#N/A</v>
      </c>
      <c r="AE206" s="261" t="e">
        <f t="shared" si="183"/>
        <v>#N/A</v>
      </c>
      <c r="AF206" s="169"/>
      <c r="AG206" s="261" t="e">
        <f>VLOOKUP($A206,[1]Planilha!$A$18:$BK$553,57,FALSE)</f>
        <v>#N/A</v>
      </c>
      <c r="AH206" s="261" t="e">
        <f t="shared" si="184"/>
        <v>#N/A</v>
      </c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</row>
    <row r="207" spans="1:46" s="124" customFormat="1" ht="16.5" customHeight="1" thickBot="1">
      <c r="A207" s="680" t="s">
        <v>295</v>
      </c>
      <c r="B207" s="452" t="s">
        <v>321</v>
      </c>
      <c r="C207" s="466"/>
      <c r="D207" s="467"/>
      <c r="E207" s="464" t="s">
        <v>741</v>
      </c>
      <c r="F207" s="261" t="e">
        <f>VLOOKUP($A207,[1]Planilha!$A$18:$BK$553,54,FALSE)</f>
        <v>#N/A</v>
      </c>
      <c r="G207" s="261" t="e">
        <f t="shared" si="175"/>
        <v>#VALUE!</v>
      </c>
      <c r="H207" s="468"/>
      <c r="I207" s="261" t="e">
        <f>VLOOKUP($A207,[1]Planilha!$A$18:$BK$553,62,FALSE)</f>
        <v>#N/A</v>
      </c>
      <c r="J207" s="261" t="e">
        <f t="shared" si="176"/>
        <v>#N/A</v>
      </c>
      <c r="K207" s="463" t="s">
        <v>292</v>
      </c>
      <c r="L207" s="261" t="e">
        <f>VLOOKUP($A207,[1]Planilha!$A$18:$BK$553,52,FALSE)</f>
        <v>#N/A</v>
      </c>
      <c r="M207" s="261" t="e">
        <f t="shared" si="177"/>
        <v>#VALUE!</v>
      </c>
      <c r="N207" s="468"/>
      <c r="O207" s="261" t="e">
        <f>VLOOKUP($A207,[1]Planilha!$A$18:$BK$553,60,FALSE)</f>
        <v>#N/A</v>
      </c>
      <c r="P207" s="261" t="e">
        <f t="shared" si="178"/>
        <v>#N/A</v>
      </c>
      <c r="Q207" s="463" t="s">
        <v>740</v>
      </c>
      <c r="R207" s="261" t="e">
        <f>VLOOKUP($A207,[1]Planilha!$A$18:$BK$553,51,FALSE)</f>
        <v>#N/A</v>
      </c>
      <c r="S207" s="261" t="e">
        <f t="shared" si="179"/>
        <v>#VALUE!</v>
      </c>
      <c r="T207" s="464"/>
      <c r="U207" s="261" t="e">
        <f>VLOOKUP($A207,[1]Planilha!$A$18:$BK$553,59,FALSE)</f>
        <v>#N/A</v>
      </c>
      <c r="V207" s="261" t="e">
        <f t="shared" si="180"/>
        <v>#N/A</v>
      </c>
      <c r="W207" s="463" t="s">
        <v>293</v>
      </c>
      <c r="X207" s="261" t="e">
        <f>VLOOKUP($A207,[1]Planilha!$A$18:$BK$553,50,FALSE)</f>
        <v>#N/A</v>
      </c>
      <c r="Y207" s="261" t="e">
        <f t="shared" si="181"/>
        <v>#VALUE!</v>
      </c>
      <c r="Z207" s="464"/>
      <c r="AA207" s="261" t="e">
        <f>VLOOKUP($A207,[1]Planilha!$A$18:$BK$553,58,FALSE)</f>
        <v>#N/A</v>
      </c>
      <c r="AB207" s="261" t="e">
        <f t="shared" si="182"/>
        <v>#N/A</v>
      </c>
      <c r="AC207" s="463" t="s">
        <v>322</v>
      </c>
      <c r="AD207" s="261" t="e">
        <f>VLOOKUP($A207,[1]Planilha!$A$18:$BK$553,49,FALSE)</f>
        <v>#N/A</v>
      </c>
      <c r="AE207" s="261" t="e">
        <f t="shared" si="183"/>
        <v>#VALUE!</v>
      </c>
      <c r="AF207" s="469"/>
      <c r="AG207" s="261" t="e">
        <f>VLOOKUP($A207,[1]Planilha!$A$18:$BK$553,57,FALSE)</f>
        <v>#N/A</v>
      </c>
      <c r="AH207" s="261" t="e">
        <f t="shared" si="184"/>
        <v>#N/A</v>
      </c>
    </row>
    <row r="208" spans="1:46" s="124" customFormat="1" ht="12.75" customHeight="1">
      <c r="A208" s="449" t="s">
        <v>296</v>
      </c>
      <c r="B208" s="173" t="s">
        <v>13</v>
      </c>
      <c r="C208" s="119" t="s">
        <v>83</v>
      </c>
      <c r="D208" s="101"/>
      <c r="E208" s="111" t="s">
        <v>81</v>
      </c>
      <c r="F208" s="261" t="e">
        <f>VLOOKUP($A208,[1]Planilha!$A$18:$BK$553,54,FALSE)</f>
        <v>#N/A</v>
      </c>
      <c r="G208" s="261" t="e">
        <f t="shared" si="175"/>
        <v>#VALUE!</v>
      </c>
      <c r="H208" s="110" t="s">
        <v>82</v>
      </c>
      <c r="I208" s="261" t="e">
        <f>VLOOKUP($A208,[1]Planilha!$A$18:$BK$553,62,FALSE)</f>
        <v>#N/A</v>
      </c>
      <c r="J208" s="261" t="e">
        <f t="shared" si="176"/>
        <v>#VALUE!</v>
      </c>
      <c r="K208" s="111" t="s">
        <v>81</v>
      </c>
      <c r="L208" s="261" t="e">
        <f>VLOOKUP($A208,[1]Planilha!$A$18:$BK$553,52,FALSE)</f>
        <v>#N/A</v>
      </c>
      <c r="M208" s="261" t="e">
        <f t="shared" si="177"/>
        <v>#VALUE!</v>
      </c>
      <c r="N208" s="110" t="s">
        <v>82</v>
      </c>
      <c r="O208" s="261" t="e">
        <f>VLOOKUP($A208,[1]Planilha!$A$18:$BK$553,60,FALSE)</f>
        <v>#N/A</v>
      </c>
      <c r="P208" s="261" t="e">
        <f t="shared" si="178"/>
        <v>#VALUE!</v>
      </c>
      <c r="Q208" s="111" t="s">
        <v>81</v>
      </c>
      <c r="R208" s="261" t="e">
        <f>VLOOKUP($A208,[1]Planilha!$A$18:$BK$553,51,FALSE)</f>
        <v>#N/A</v>
      </c>
      <c r="S208" s="261" t="e">
        <f t="shared" si="179"/>
        <v>#VALUE!</v>
      </c>
      <c r="T208" s="110" t="s">
        <v>82</v>
      </c>
      <c r="U208" s="261" t="e">
        <f>VLOOKUP($A208,[1]Planilha!$A$18:$BK$553,59,FALSE)</f>
        <v>#N/A</v>
      </c>
      <c r="V208" s="261" t="e">
        <f t="shared" si="180"/>
        <v>#VALUE!</v>
      </c>
      <c r="W208" s="111" t="s">
        <v>81</v>
      </c>
      <c r="X208" s="261" t="e">
        <f>VLOOKUP($A208,[1]Planilha!$A$18:$BK$553,50,FALSE)</f>
        <v>#N/A</v>
      </c>
      <c r="Y208" s="261" t="e">
        <f t="shared" si="181"/>
        <v>#VALUE!</v>
      </c>
      <c r="Z208" s="110" t="s">
        <v>82</v>
      </c>
      <c r="AA208" s="261" t="e">
        <f>VLOOKUP($A208,[1]Planilha!$A$18:$BK$553,58,FALSE)</f>
        <v>#N/A</v>
      </c>
      <c r="AB208" s="261" t="e">
        <f t="shared" si="182"/>
        <v>#VALUE!</v>
      </c>
      <c r="AC208" s="111" t="s">
        <v>81</v>
      </c>
      <c r="AD208" s="261" t="e">
        <f>VLOOKUP($A208,[1]Planilha!$A$18:$BK$553,49,FALSE)</f>
        <v>#N/A</v>
      </c>
      <c r="AE208" s="261" t="e">
        <f t="shared" si="183"/>
        <v>#VALUE!</v>
      </c>
      <c r="AF208" s="112" t="s">
        <v>82</v>
      </c>
      <c r="AG208" s="261" t="e">
        <f>VLOOKUP($A208,[1]Planilha!$A$18:$BK$553,57,FALSE)</f>
        <v>#N/A</v>
      </c>
      <c r="AH208" s="261" t="e">
        <f t="shared" si="184"/>
        <v>#VALUE!</v>
      </c>
    </row>
    <row r="209" spans="1:46" s="124" customFormat="1" ht="15" customHeight="1" thickBot="1">
      <c r="A209" s="450"/>
      <c r="B209" s="174" t="s">
        <v>14</v>
      </c>
      <c r="C209" s="165" t="s">
        <v>379</v>
      </c>
      <c r="D209" s="157" t="s">
        <v>84</v>
      </c>
      <c r="E209" s="158" t="s">
        <v>85</v>
      </c>
      <c r="F209" s="261" t="e">
        <f>VLOOKUP($A209,[1]Planilha!$A$18:$BK$553,54,FALSE)</f>
        <v>#N/A</v>
      </c>
      <c r="G209" s="261" t="e">
        <f t="shared" si="175"/>
        <v>#VALUE!</v>
      </c>
      <c r="H209" s="159" t="s">
        <v>297</v>
      </c>
      <c r="I209" s="261" t="e">
        <f>VLOOKUP($A209,[1]Planilha!$A$18:$BK$553,62,FALSE)</f>
        <v>#N/A</v>
      </c>
      <c r="J209" s="261" t="e">
        <f t="shared" si="176"/>
        <v>#VALUE!</v>
      </c>
      <c r="K209" s="158" t="s">
        <v>85</v>
      </c>
      <c r="L209" s="261" t="e">
        <f>VLOOKUP($A209,[1]Planilha!$A$18:$BK$553,52,FALSE)</f>
        <v>#N/A</v>
      </c>
      <c r="M209" s="261" t="e">
        <f t="shared" si="177"/>
        <v>#VALUE!</v>
      </c>
      <c r="N209" s="159" t="s">
        <v>297</v>
      </c>
      <c r="O209" s="261" t="e">
        <f>VLOOKUP($A209,[1]Planilha!$A$18:$BK$553,60,FALSE)</f>
        <v>#N/A</v>
      </c>
      <c r="P209" s="261" t="e">
        <f t="shared" si="178"/>
        <v>#VALUE!</v>
      </c>
      <c r="Q209" s="158" t="s">
        <v>85</v>
      </c>
      <c r="R209" s="261" t="e">
        <f>VLOOKUP($A209,[1]Planilha!$A$18:$BK$553,51,FALSE)</f>
        <v>#N/A</v>
      </c>
      <c r="S209" s="261" t="e">
        <f t="shared" si="179"/>
        <v>#VALUE!</v>
      </c>
      <c r="T209" s="159" t="s">
        <v>297</v>
      </c>
      <c r="U209" s="261" t="e">
        <f>VLOOKUP($A209,[1]Planilha!$A$18:$BK$553,59,FALSE)</f>
        <v>#N/A</v>
      </c>
      <c r="V209" s="261" t="e">
        <f t="shared" si="180"/>
        <v>#VALUE!</v>
      </c>
      <c r="W209" s="158" t="s">
        <v>85</v>
      </c>
      <c r="X209" s="261" t="e">
        <f>VLOOKUP($A209,[1]Planilha!$A$18:$BK$553,50,FALSE)</f>
        <v>#N/A</v>
      </c>
      <c r="Y209" s="261" t="e">
        <f t="shared" si="181"/>
        <v>#VALUE!</v>
      </c>
      <c r="Z209" s="159" t="s">
        <v>297</v>
      </c>
      <c r="AA209" s="261" t="e">
        <f>VLOOKUP($A209,[1]Planilha!$A$18:$BK$553,58,FALSE)</f>
        <v>#N/A</v>
      </c>
      <c r="AB209" s="261" t="e">
        <f t="shared" si="182"/>
        <v>#VALUE!</v>
      </c>
      <c r="AC209" s="158" t="s">
        <v>85</v>
      </c>
      <c r="AD209" s="261" t="e">
        <f>VLOOKUP($A209,[1]Planilha!$A$18:$BK$553,49,FALSE)</f>
        <v>#N/A</v>
      </c>
      <c r="AE209" s="261" t="e">
        <f t="shared" si="183"/>
        <v>#VALUE!</v>
      </c>
      <c r="AF209" s="162" t="s">
        <v>297</v>
      </c>
      <c r="AG209" s="261" t="e">
        <f>VLOOKUP($A209,[1]Planilha!$A$18:$BK$553,57,FALSE)</f>
        <v>#N/A</v>
      </c>
      <c r="AH209" s="261" t="e">
        <f t="shared" si="184"/>
        <v>#VALUE!</v>
      </c>
    </row>
    <row r="210" spans="1:46" s="150" customFormat="1" ht="15">
      <c r="A210" s="684"/>
      <c r="B210" s="114" t="s">
        <v>346</v>
      </c>
      <c r="C210" s="114"/>
      <c r="D210" s="104"/>
      <c r="E210" s="305"/>
      <c r="F210" s="261" t="e">
        <f>VLOOKUP($A210,[1]Planilha!$A$18:$BK$553,54,FALSE)</f>
        <v>#N/A</v>
      </c>
      <c r="G210" s="261" t="e">
        <f t="shared" si="175"/>
        <v>#N/A</v>
      </c>
      <c r="H210" s="306"/>
      <c r="I210" s="261" t="e">
        <f>VLOOKUP($A210,[1]Planilha!$A$18:$BK$553,62,FALSE)</f>
        <v>#N/A</v>
      </c>
      <c r="J210" s="261" t="e">
        <f t="shared" si="176"/>
        <v>#N/A</v>
      </c>
      <c r="K210" s="305"/>
      <c r="L210" s="261" t="e">
        <f>VLOOKUP($A210,[1]Planilha!$A$18:$BK$553,52,FALSE)</f>
        <v>#N/A</v>
      </c>
      <c r="M210" s="261" t="e">
        <f t="shared" si="177"/>
        <v>#N/A</v>
      </c>
      <c r="N210" s="306"/>
      <c r="O210" s="261" t="e">
        <f>VLOOKUP($A210,[1]Planilha!$A$18:$BK$553,60,FALSE)</f>
        <v>#N/A</v>
      </c>
      <c r="P210" s="261" t="e">
        <f t="shared" si="178"/>
        <v>#N/A</v>
      </c>
      <c r="Q210" s="305"/>
      <c r="R210" s="261" t="e">
        <f>VLOOKUP($A210,[1]Planilha!$A$18:$BK$553,51,FALSE)</f>
        <v>#N/A</v>
      </c>
      <c r="S210" s="261" t="e">
        <f t="shared" si="179"/>
        <v>#N/A</v>
      </c>
      <c r="T210" s="306"/>
      <c r="U210" s="261" t="e">
        <f>VLOOKUP($A210,[1]Planilha!$A$18:$BK$553,59,FALSE)</f>
        <v>#N/A</v>
      </c>
      <c r="V210" s="261" t="e">
        <f t="shared" si="180"/>
        <v>#N/A</v>
      </c>
      <c r="W210" s="305"/>
      <c r="X210" s="261" t="e">
        <f>VLOOKUP($A210,[1]Planilha!$A$18:$BK$553,50,FALSE)</f>
        <v>#N/A</v>
      </c>
      <c r="Y210" s="261" t="e">
        <f t="shared" si="181"/>
        <v>#N/A</v>
      </c>
      <c r="Z210" s="306"/>
      <c r="AA210" s="261" t="e">
        <f>VLOOKUP($A210,[1]Planilha!$A$18:$BK$553,58,FALSE)</f>
        <v>#N/A</v>
      </c>
      <c r="AB210" s="261" t="e">
        <f t="shared" si="182"/>
        <v>#N/A</v>
      </c>
      <c r="AC210" s="305"/>
      <c r="AD210" s="261" t="e">
        <f>VLOOKUP($A210,[1]Planilha!$A$18:$BK$553,49,FALSE)</f>
        <v>#N/A</v>
      </c>
      <c r="AE210" s="261" t="e">
        <f t="shared" si="183"/>
        <v>#N/A</v>
      </c>
      <c r="AF210" s="307"/>
      <c r="AG210" s="261" t="e">
        <f>VLOOKUP($A210,[1]Planilha!$A$18:$BK$553,57,FALSE)</f>
        <v>#N/A</v>
      </c>
      <c r="AH210" s="261" t="e">
        <f t="shared" si="184"/>
        <v>#N/A</v>
      </c>
    </row>
    <row r="211" spans="1:46">
      <c r="A211" s="689">
        <v>7891721238567</v>
      </c>
      <c r="B211" s="312" t="s">
        <v>63</v>
      </c>
      <c r="C211" s="116" t="s">
        <v>514</v>
      </c>
      <c r="D211" s="318" t="s">
        <v>700</v>
      </c>
      <c r="E211" s="378">
        <f>K211</f>
        <v>30.128628967894851</v>
      </c>
      <c r="F211" s="261">
        <f>VLOOKUP($A211,[1]Planilha!$A$18:$BK$553,54,FALSE)</f>
        <v>30.5</v>
      </c>
      <c r="G211" s="261">
        <f t="shared" si="175"/>
        <v>-0.37137103210514866</v>
      </c>
      <c r="H211" s="378">
        <f>N211</f>
        <v>41.65</v>
      </c>
      <c r="I211" s="261">
        <f>VLOOKUP($A211,[1]Planilha!$A$18:$BK$553,62,FALSE)</f>
        <v>42.69</v>
      </c>
      <c r="J211" s="261">
        <f t="shared" si="176"/>
        <v>-1.0399999999999991</v>
      </c>
      <c r="K211" s="378">
        <f>VLOOKUP(A211,[2]Plan1!$H$2:$J$279,3,FALSE)</f>
        <v>30.128628967894851</v>
      </c>
      <c r="L211" s="261">
        <f>VLOOKUP($A211,[1]Planilha!$A$18:$BK$553,52,FALSE)</f>
        <v>30.13</v>
      </c>
      <c r="M211" s="261">
        <f t="shared" si="177"/>
        <v>-1.3710321051476626E-3</v>
      </c>
      <c r="N211" s="491">
        <v>41.65</v>
      </c>
      <c r="O211" s="261">
        <f>VLOOKUP($A211,[1]Planilha!$A$18:$BK$553,60,FALSE)</f>
        <v>41.65</v>
      </c>
      <c r="P211" s="261">
        <f t="shared" si="178"/>
        <v>0</v>
      </c>
      <c r="Q211" s="378">
        <f>ROUND(K211*0.993939,2)</f>
        <v>29.95</v>
      </c>
      <c r="R211" s="261">
        <f>VLOOKUP($A211,[1]Planilha!$A$18:$BK$553,51,FALSE)</f>
        <v>29.95</v>
      </c>
      <c r="S211" s="261">
        <f t="shared" si="179"/>
        <v>0</v>
      </c>
      <c r="T211" s="378">
        <f>ROUND(Q211/0.723358,2)</f>
        <v>41.4</v>
      </c>
      <c r="U211" s="261">
        <f>VLOOKUP($A211,[1]Planilha!$A$18:$BK$553,59,FALSE)</f>
        <v>41.4</v>
      </c>
      <c r="V211" s="261">
        <f t="shared" si="180"/>
        <v>0</v>
      </c>
      <c r="W211" s="378">
        <f t="shared" ref="W211:W240" si="185">ROUND(K211*0.987952,2)</f>
        <v>29.77</v>
      </c>
      <c r="X211" s="261">
        <f>VLOOKUP($A211,[1]Planilha!$A$18:$BK$553,50,FALSE)</f>
        <v>29.77</v>
      </c>
      <c r="Y211" s="261">
        <f t="shared" si="181"/>
        <v>0</v>
      </c>
      <c r="Z211" s="378">
        <f t="shared" ref="Z211:Z240" si="186">ROUND(W211/0.723358,2)</f>
        <v>41.16</v>
      </c>
      <c r="AA211" s="261">
        <f>VLOOKUP($A211,[1]Planilha!$A$18:$BK$553,58,FALSE)</f>
        <v>41.16</v>
      </c>
      <c r="AB211" s="261">
        <f t="shared" si="182"/>
        <v>0</v>
      </c>
      <c r="AC211" s="378">
        <f t="shared" ref="AC211:AC240" si="187">ROUND(K211*0.931818,2)</f>
        <v>28.07</v>
      </c>
      <c r="AD211" s="261">
        <f>VLOOKUP($A211,[1]Planilha!$A$18:$BK$553,49,FALSE)</f>
        <v>28.07</v>
      </c>
      <c r="AE211" s="261">
        <f t="shared" si="183"/>
        <v>0</v>
      </c>
      <c r="AF211" s="379">
        <f t="shared" ref="AF211:AF240" si="188">ROUND(AC211/0.723358,2)</f>
        <v>38.81</v>
      </c>
      <c r="AG211" s="261">
        <f>VLOOKUP($A211,[1]Planilha!$A$18:$BK$553,57,FALSE)</f>
        <v>38.81</v>
      </c>
      <c r="AH211" s="261">
        <f t="shared" si="184"/>
        <v>0</v>
      </c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</row>
    <row r="212" spans="1:46" s="150" customFormat="1" ht="15">
      <c r="A212" s="684"/>
      <c r="B212" s="114" t="s">
        <v>347</v>
      </c>
      <c r="C212" s="114"/>
      <c r="D212" s="104"/>
      <c r="E212" s="305"/>
      <c r="F212" s="261" t="e">
        <f>VLOOKUP($A212,[1]Planilha!$A$18:$BK$553,54,FALSE)</f>
        <v>#N/A</v>
      </c>
      <c r="G212" s="261" t="e">
        <f t="shared" si="175"/>
        <v>#N/A</v>
      </c>
      <c r="H212" s="306"/>
      <c r="I212" s="261" t="e">
        <f>VLOOKUP($A212,[1]Planilha!$A$18:$BK$553,62,FALSE)</f>
        <v>#N/A</v>
      </c>
      <c r="J212" s="261" t="e">
        <f t="shared" si="176"/>
        <v>#N/A</v>
      </c>
      <c r="K212" s="378"/>
      <c r="L212" s="261" t="e">
        <f>VLOOKUP($A212,[1]Planilha!$A$18:$BK$553,52,FALSE)</f>
        <v>#N/A</v>
      </c>
      <c r="M212" s="261" t="e">
        <f t="shared" si="177"/>
        <v>#N/A</v>
      </c>
      <c r="N212" s="306"/>
      <c r="O212" s="261" t="e">
        <f>VLOOKUP($A212,[1]Planilha!$A$18:$BK$553,60,FALSE)</f>
        <v>#N/A</v>
      </c>
      <c r="P212" s="261" t="e">
        <f t="shared" si="178"/>
        <v>#N/A</v>
      </c>
      <c r="Q212" s="305"/>
      <c r="R212" s="261" t="e">
        <f>VLOOKUP($A212,[1]Planilha!$A$18:$BK$553,51,FALSE)</f>
        <v>#N/A</v>
      </c>
      <c r="S212" s="261" t="e">
        <f t="shared" si="179"/>
        <v>#N/A</v>
      </c>
      <c r="T212" s="306"/>
      <c r="U212" s="261" t="e">
        <f>VLOOKUP($A212,[1]Planilha!$A$18:$BK$553,59,FALSE)</f>
        <v>#N/A</v>
      </c>
      <c r="V212" s="261" t="e">
        <f t="shared" si="180"/>
        <v>#N/A</v>
      </c>
      <c r="W212" s="305"/>
      <c r="X212" s="261" t="e">
        <f>VLOOKUP($A212,[1]Planilha!$A$18:$BK$553,50,FALSE)</f>
        <v>#N/A</v>
      </c>
      <c r="Y212" s="261" t="e">
        <f t="shared" si="181"/>
        <v>#N/A</v>
      </c>
      <c r="Z212" s="306"/>
      <c r="AA212" s="261" t="e">
        <f>VLOOKUP($A212,[1]Planilha!$A$18:$BK$553,58,FALSE)</f>
        <v>#N/A</v>
      </c>
      <c r="AB212" s="261" t="e">
        <f t="shared" si="182"/>
        <v>#N/A</v>
      </c>
      <c r="AC212" s="305"/>
      <c r="AD212" s="261" t="e">
        <f>VLOOKUP($A212,[1]Planilha!$A$18:$BK$553,49,FALSE)</f>
        <v>#N/A</v>
      </c>
      <c r="AE212" s="261" t="e">
        <f t="shared" si="183"/>
        <v>#N/A</v>
      </c>
      <c r="AF212" s="307"/>
      <c r="AG212" s="261" t="e">
        <f>VLOOKUP($A212,[1]Planilha!$A$18:$BK$553,57,FALSE)</f>
        <v>#N/A</v>
      </c>
      <c r="AH212" s="261" t="e">
        <f t="shared" si="184"/>
        <v>#N/A</v>
      </c>
    </row>
    <row r="213" spans="1:46">
      <c r="A213" s="685">
        <v>7891721238079</v>
      </c>
      <c r="B213" s="175" t="s">
        <v>59</v>
      </c>
      <c r="C213" s="117" t="s">
        <v>515</v>
      </c>
      <c r="D213" s="94" t="s">
        <v>348</v>
      </c>
      <c r="E213" s="282">
        <f>ROUND(K213*1.025,2)</f>
        <v>14.36</v>
      </c>
      <c r="F213" s="261">
        <f>VLOOKUP($A213,[1]Planilha!$A$18:$BK$553,54,FALSE)</f>
        <v>14.18</v>
      </c>
      <c r="G213" s="261">
        <f t="shared" si="175"/>
        <v>0.17999999999999972</v>
      </c>
      <c r="H213" s="282">
        <f>ROUND(E213/0.723358,2)</f>
        <v>19.850000000000001</v>
      </c>
      <c r="I213" s="261">
        <f>VLOOKUP($A213,[1]Planilha!$A$18:$BK$553,62,FALSE)</f>
        <v>19.850000000000001</v>
      </c>
      <c r="J213" s="261">
        <f t="shared" si="176"/>
        <v>0</v>
      </c>
      <c r="K213" s="378">
        <f>VLOOKUP(A213,[2]Plan1!$H$2:$J$279,3,FALSE)</f>
        <v>14.006250671097153</v>
      </c>
      <c r="L213" s="261">
        <f>VLOOKUP($A213,[1]Planilha!$A$18:$BK$553,52,FALSE)</f>
        <v>14.01</v>
      </c>
      <c r="M213" s="261">
        <f t="shared" si="177"/>
        <v>-3.7493289028471821E-3</v>
      </c>
      <c r="N213" s="282">
        <f t="shared" ref="N213:N214" si="189">ROUND(K213/0.723358,2)</f>
        <v>19.36</v>
      </c>
      <c r="O213" s="261">
        <f>VLOOKUP($A213,[1]Planilha!$A$18:$BK$553,60,FALSE)</f>
        <v>19.36</v>
      </c>
      <c r="P213" s="261">
        <f t="shared" si="178"/>
        <v>0</v>
      </c>
      <c r="Q213" s="282">
        <f t="shared" ref="Q213:Q214" si="190">ROUND(K213*0.993939,2)</f>
        <v>13.92</v>
      </c>
      <c r="R213" s="261">
        <f>VLOOKUP($A213,[1]Planilha!$A$18:$BK$553,51,FALSE)</f>
        <v>13.92</v>
      </c>
      <c r="S213" s="261">
        <f t="shared" si="179"/>
        <v>0</v>
      </c>
      <c r="T213" s="282">
        <f t="shared" ref="T213:T214" si="191">ROUND(Q213/0.723358,2)</f>
        <v>19.239999999999998</v>
      </c>
      <c r="U213" s="261">
        <f>VLOOKUP($A213,[1]Planilha!$A$18:$BK$553,59,FALSE)</f>
        <v>19.239999999999998</v>
      </c>
      <c r="V213" s="261">
        <f t="shared" si="180"/>
        <v>0</v>
      </c>
      <c r="W213" s="282">
        <f t="shared" si="185"/>
        <v>13.84</v>
      </c>
      <c r="X213" s="261">
        <f>VLOOKUP($A213,[1]Planilha!$A$18:$BK$553,50,FALSE)</f>
        <v>13.84</v>
      </c>
      <c r="Y213" s="261">
        <f t="shared" si="181"/>
        <v>0</v>
      </c>
      <c r="Z213" s="282">
        <f t="shared" si="186"/>
        <v>19.13</v>
      </c>
      <c r="AA213" s="261">
        <f>VLOOKUP($A213,[1]Planilha!$A$18:$BK$553,58,FALSE)</f>
        <v>19.13</v>
      </c>
      <c r="AB213" s="261">
        <f t="shared" si="182"/>
        <v>0</v>
      </c>
      <c r="AC213" s="282">
        <f t="shared" si="187"/>
        <v>13.05</v>
      </c>
      <c r="AD213" s="261">
        <f>VLOOKUP($A213,[1]Planilha!$A$18:$BK$553,49,FALSE)</f>
        <v>13.05</v>
      </c>
      <c r="AE213" s="261">
        <f t="shared" si="183"/>
        <v>0</v>
      </c>
      <c r="AF213" s="283">
        <f t="shared" si="188"/>
        <v>18.04</v>
      </c>
      <c r="AG213" s="261">
        <f>VLOOKUP($A213,[1]Planilha!$A$18:$BK$553,57,FALSE)</f>
        <v>18.04</v>
      </c>
      <c r="AH213" s="261">
        <f t="shared" si="184"/>
        <v>0</v>
      </c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</row>
    <row r="214" spans="1:46">
      <c r="A214" s="229">
        <v>7891721238086</v>
      </c>
      <c r="B214" s="175" t="s">
        <v>58</v>
      </c>
      <c r="C214" s="122" t="s">
        <v>516</v>
      </c>
      <c r="D214" s="94" t="s">
        <v>349</v>
      </c>
      <c r="E214" s="289">
        <f>ROUND(K214*1.025,2)</f>
        <v>26.9</v>
      </c>
      <c r="F214" s="261">
        <f>VLOOKUP($A214,[1]Planilha!$A$18:$BK$553,54,FALSE)</f>
        <v>26.57</v>
      </c>
      <c r="G214" s="261">
        <f t="shared" si="175"/>
        <v>0.32999999999999829</v>
      </c>
      <c r="H214" s="289">
        <f>ROUND(E214/0.723358,2)</f>
        <v>37.19</v>
      </c>
      <c r="I214" s="261">
        <f>VLOOKUP($A214,[1]Planilha!$A$18:$BK$553,62,FALSE)</f>
        <v>37.19</v>
      </c>
      <c r="J214" s="261">
        <f t="shared" si="176"/>
        <v>0</v>
      </c>
      <c r="K214" s="378">
        <f>VLOOKUP(A214,[2]Plan1!$H$2:$J$279,3,FALSE)</f>
        <v>26.242077734553753</v>
      </c>
      <c r="L214" s="261">
        <f>VLOOKUP($A214,[1]Planilha!$A$18:$BK$553,52,FALSE)</f>
        <v>26.24</v>
      </c>
      <c r="M214" s="261">
        <f t="shared" si="177"/>
        <v>2.0777345537545955E-3</v>
      </c>
      <c r="N214" s="289">
        <f t="shared" si="189"/>
        <v>36.28</v>
      </c>
      <c r="O214" s="261">
        <f>VLOOKUP($A214,[1]Planilha!$A$18:$BK$553,60,FALSE)</f>
        <v>36.28</v>
      </c>
      <c r="P214" s="261">
        <f t="shared" si="178"/>
        <v>0</v>
      </c>
      <c r="Q214" s="289">
        <f t="shared" si="190"/>
        <v>26.08</v>
      </c>
      <c r="R214" s="261">
        <f>VLOOKUP($A214,[1]Planilha!$A$18:$BK$553,51,FALSE)</f>
        <v>26.08</v>
      </c>
      <c r="S214" s="261">
        <f t="shared" si="179"/>
        <v>0</v>
      </c>
      <c r="T214" s="289">
        <f t="shared" si="191"/>
        <v>36.049999999999997</v>
      </c>
      <c r="U214" s="261">
        <f>VLOOKUP($A214,[1]Planilha!$A$18:$BK$553,59,FALSE)</f>
        <v>36.049999999999997</v>
      </c>
      <c r="V214" s="261">
        <f t="shared" si="180"/>
        <v>0</v>
      </c>
      <c r="W214" s="289">
        <f t="shared" si="185"/>
        <v>25.93</v>
      </c>
      <c r="X214" s="261">
        <f>VLOOKUP($A214,[1]Planilha!$A$18:$BK$553,50,FALSE)</f>
        <v>25.93</v>
      </c>
      <c r="Y214" s="261">
        <f t="shared" si="181"/>
        <v>0</v>
      </c>
      <c r="Z214" s="289">
        <f t="shared" si="186"/>
        <v>35.85</v>
      </c>
      <c r="AA214" s="261">
        <f>VLOOKUP($A214,[1]Planilha!$A$18:$BK$553,58,FALSE)</f>
        <v>35.85</v>
      </c>
      <c r="AB214" s="261">
        <f t="shared" si="182"/>
        <v>0</v>
      </c>
      <c r="AC214" s="289">
        <f t="shared" si="187"/>
        <v>24.45</v>
      </c>
      <c r="AD214" s="261">
        <f>VLOOKUP($A214,[1]Planilha!$A$18:$BK$553,49,FALSE)</f>
        <v>24.45</v>
      </c>
      <c r="AE214" s="261">
        <f t="shared" si="183"/>
        <v>0</v>
      </c>
      <c r="AF214" s="290">
        <f t="shared" si="188"/>
        <v>33.799999999999997</v>
      </c>
      <c r="AG214" s="261">
        <f>VLOOKUP($A214,[1]Planilha!$A$18:$BK$553,57,FALSE)</f>
        <v>33.799999999999997</v>
      </c>
      <c r="AH214" s="261">
        <f t="shared" si="184"/>
        <v>0</v>
      </c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</row>
    <row r="215" spans="1:46" s="150" customFormat="1" ht="15">
      <c r="A215" s="684"/>
      <c r="B215" s="114" t="s">
        <v>350</v>
      </c>
      <c r="C215" s="114"/>
      <c r="D215" s="104"/>
      <c r="E215" s="305"/>
      <c r="F215" s="261" t="e">
        <f>VLOOKUP($A215,[1]Planilha!$A$18:$BK$553,54,FALSE)</f>
        <v>#N/A</v>
      </c>
      <c r="G215" s="261" t="e">
        <f t="shared" si="175"/>
        <v>#N/A</v>
      </c>
      <c r="H215" s="306"/>
      <c r="I215" s="261" t="e">
        <f>VLOOKUP($A215,[1]Planilha!$A$18:$BK$553,62,FALSE)</f>
        <v>#N/A</v>
      </c>
      <c r="J215" s="261" t="e">
        <f t="shared" si="176"/>
        <v>#N/A</v>
      </c>
      <c r="K215" s="378"/>
      <c r="L215" s="261" t="e">
        <f>VLOOKUP($A215,[1]Planilha!$A$18:$BK$553,52,FALSE)</f>
        <v>#N/A</v>
      </c>
      <c r="M215" s="261" t="e">
        <f t="shared" si="177"/>
        <v>#N/A</v>
      </c>
      <c r="N215" s="306"/>
      <c r="O215" s="261" t="e">
        <f>VLOOKUP($A215,[1]Planilha!$A$18:$BK$553,60,FALSE)</f>
        <v>#N/A</v>
      </c>
      <c r="P215" s="261" t="e">
        <f t="shared" si="178"/>
        <v>#N/A</v>
      </c>
      <c r="Q215" s="305"/>
      <c r="R215" s="261" t="e">
        <f>VLOOKUP($A215,[1]Planilha!$A$18:$BK$553,51,FALSE)</f>
        <v>#N/A</v>
      </c>
      <c r="S215" s="261" t="e">
        <f t="shared" si="179"/>
        <v>#N/A</v>
      </c>
      <c r="T215" s="306"/>
      <c r="U215" s="261" t="e">
        <f>VLOOKUP($A215,[1]Planilha!$A$18:$BK$553,59,FALSE)</f>
        <v>#N/A</v>
      </c>
      <c r="V215" s="261" t="e">
        <f t="shared" si="180"/>
        <v>#N/A</v>
      </c>
      <c r="W215" s="305"/>
      <c r="X215" s="261" t="e">
        <f>VLOOKUP($A215,[1]Planilha!$A$18:$BK$553,50,FALSE)</f>
        <v>#N/A</v>
      </c>
      <c r="Y215" s="261" t="e">
        <f t="shared" si="181"/>
        <v>#N/A</v>
      </c>
      <c r="Z215" s="306"/>
      <c r="AA215" s="261" t="e">
        <f>VLOOKUP($A215,[1]Planilha!$A$18:$BK$553,58,FALSE)</f>
        <v>#N/A</v>
      </c>
      <c r="AB215" s="261" t="e">
        <f t="shared" si="182"/>
        <v>#N/A</v>
      </c>
      <c r="AC215" s="305"/>
      <c r="AD215" s="261" t="e">
        <f>VLOOKUP($A215,[1]Planilha!$A$18:$BK$553,49,FALSE)</f>
        <v>#N/A</v>
      </c>
      <c r="AE215" s="261" t="e">
        <f t="shared" si="183"/>
        <v>#N/A</v>
      </c>
      <c r="AF215" s="307"/>
      <c r="AG215" s="261" t="e">
        <f>VLOOKUP($A215,[1]Planilha!$A$18:$BK$553,57,FALSE)</f>
        <v>#N/A</v>
      </c>
      <c r="AH215" s="261" t="e">
        <f t="shared" si="184"/>
        <v>#N/A</v>
      </c>
    </row>
    <row r="216" spans="1:46">
      <c r="A216" s="685">
        <v>7891721023491</v>
      </c>
      <c r="B216" s="175" t="s">
        <v>60</v>
      </c>
      <c r="C216" s="117" t="s">
        <v>530</v>
      </c>
      <c r="D216" s="94" t="s">
        <v>351</v>
      </c>
      <c r="E216" s="282">
        <f>ROUND(K216*1.025,2)</f>
        <v>33.21</v>
      </c>
      <c r="F216" s="261">
        <f>VLOOKUP($A216,[1]Planilha!$A$18:$BK$553,54,FALSE)</f>
        <v>32.799999999999997</v>
      </c>
      <c r="G216" s="261">
        <f t="shared" si="175"/>
        <v>0.41000000000000369</v>
      </c>
      <c r="H216" s="282">
        <f>ROUND(E216/0.723358,2)</f>
        <v>45.91</v>
      </c>
      <c r="I216" s="261">
        <f>VLOOKUP($A216,[1]Planilha!$A$18:$BK$553,62,FALSE)</f>
        <v>45.91</v>
      </c>
      <c r="J216" s="261">
        <f t="shared" si="176"/>
        <v>0</v>
      </c>
      <c r="K216" s="378">
        <f>VLOOKUP(A216,[2]Plan1!$H$2:$J$279,3,FALSE)</f>
        <v>32.401684629715376</v>
      </c>
      <c r="L216" s="261">
        <f>VLOOKUP($A216,[1]Planilha!$A$18:$BK$553,52,FALSE)</f>
        <v>32.4</v>
      </c>
      <c r="M216" s="261">
        <f t="shared" si="177"/>
        <v>1.6846297153776391E-3</v>
      </c>
      <c r="N216" s="282">
        <f t="shared" ref="N216:N217" si="192">ROUND(K216/0.723358,2)</f>
        <v>44.79</v>
      </c>
      <c r="O216" s="261">
        <f>VLOOKUP($A216,[1]Planilha!$A$18:$BK$553,60,FALSE)</f>
        <v>44.79</v>
      </c>
      <c r="P216" s="261">
        <f t="shared" si="178"/>
        <v>0</v>
      </c>
      <c r="Q216" s="492">
        <v>32.200000000000003</v>
      </c>
      <c r="R216" s="261">
        <f>VLOOKUP($A216,[1]Planilha!$A$18:$BK$553,51,FALSE)</f>
        <v>32.200000000000003</v>
      </c>
      <c r="S216" s="261">
        <f t="shared" si="179"/>
        <v>0</v>
      </c>
      <c r="T216" s="282">
        <f t="shared" ref="T216:T217" si="193">ROUND(Q216/0.723358,2)</f>
        <v>44.51</v>
      </c>
      <c r="U216" s="261">
        <f>VLOOKUP($A216,[1]Planilha!$A$18:$BK$553,59,FALSE)</f>
        <v>44.51</v>
      </c>
      <c r="V216" s="261">
        <f t="shared" si="180"/>
        <v>0</v>
      </c>
      <c r="W216" s="282">
        <f t="shared" ref="W216:W217" si="194">ROUND(K216*0.987952,2)</f>
        <v>32.01</v>
      </c>
      <c r="X216" s="261">
        <f>VLOOKUP($A216,[1]Planilha!$A$18:$BK$553,50,FALSE)</f>
        <v>32.01</v>
      </c>
      <c r="Y216" s="261">
        <f t="shared" si="181"/>
        <v>0</v>
      </c>
      <c r="Z216" s="282">
        <f t="shared" ref="Z216:Z217" si="195">ROUND(W216/0.723358,2)</f>
        <v>44.25</v>
      </c>
      <c r="AA216" s="261">
        <f>VLOOKUP($A216,[1]Planilha!$A$18:$BK$553,58,FALSE)</f>
        <v>44.25</v>
      </c>
      <c r="AB216" s="261">
        <f t="shared" si="182"/>
        <v>0</v>
      </c>
      <c r="AC216" s="282">
        <f t="shared" ref="AC216:AC217" si="196">ROUND(K216*0.931818,2)</f>
        <v>30.19</v>
      </c>
      <c r="AD216" s="261">
        <f>VLOOKUP($A216,[1]Planilha!$A$18:$BK$553,49,FALSE)</f>
        <v>30.19</v>
      </c>
      <c r="AE216" s="261">
        <f t="shared" si="183"/>
        <v>0</v>
      </c>
      <c r="AF216" s="283">
        <f t="shared" ref="AF216:AF217" si="197">ROUND(AC216/0.723358,2)</f>
        <v>41.74</v>
      </c>
      <c r="AG216" s="261">
        <f>VLOOKUP($A216,[1]Planilha!$A$18:$BK$553,57,FALSE)</f>
        <v>41.74</v>
      </c>
      <c r="AH216" s="261">
        <f t="shared" si="184"/>
        <v>0</v>
      </c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</row>
    <row r="217" spans="1:46">
      <c r="A217" s="229">
        <v>7891721023507</v>
      </c>
      <c r="B217" s="175" t="s">
        <v>61</v>
      </c>
      <c r="C217" s="122" t="s">
        <v>551</v>
      </c>
      <c r="D217" s="94" t="s">
        <v>352</v>
      </c>
      <c r="E217" s="289">
        <f>ROUND(K217*1.025,2)</f>
        <v>90.64</v>
      </c>
      <c r="F217" s="261">
        <f>VLOOKUP($A217,[1]Planilha!$A$18:$BK$553,54,FALSE)</f>
        <v>89.52</v>
      </c>
      <c r="G217" s="261">
        <f t="shared" si="175"/>
        <v>1.1200000000000045</v>
      </c>
      <c r="H217" s="289">
        <f>ROUND(E217/0.723358,2)</f>
        <v>125.3</v>
      </c>
      <c r="I217" s="261">
        <f>VLOOKUP($A217,[1]Planilha!$A$18:$BK$553,62,FALSE)</f>
        <v>125.29</v>
      </c>
      <c r="J217" s="261">
        <f t="shared" si="176"/>
        <v>9.9999999999909051E-3</v>
      </c>
      <c r="K217" s="378">
        <f>VLOOKUP(A217,[2]Plan1!$H$2:$J$279,3,FALSE)</f>
        <v>88.424444695597288</v>
      </c>
      <c r="L217" s="261">
        <f>VLOOKUP($A217,[1]Planilha!$A$18:$BK$553,52,FALSE)</f>
        <v>88.42</v>
      </c>
      <c r="M217" s="261">
        <f t="shared" si="177"/>
        <v>4.4446955972858859E-3</v>
      </c>
      <c r="N217" s="289">
        <f t="shared" si="192"/>
        <v>122.24</v>
      </c>
      <c r="O217" s="261">
        <f>VLOOKUP($A217,[1]Planilha!$A$18:$BK$553,60,FALSE)</f>
        <v>122.24</v>
      </c>
      <c r="P217" s="261">
        <f t="shared" si="178"/>
        <v>0</v>
      </c>
      <c r="Q217" s="289">
        <f t="shared" ref="Q217" si="198">ROUND(K217*0.993939,2)</f>
        <v>87.89</v>
      </c>
      <c r="R217" s="261">
        <f>VLOOKUP($A217,[1]Planilha!$A$18:$BK$553,51,FALSE)</f>
        <v>87.89</v>
      </c>
      <c r="S217" s="261">
        <f t="shared" si="179"/>
        <v>0</v>
      </c>
      <c r="T217" s="289">
        <f t="shared" si="193"/>
        <v>121.5</v>
      </c>
      <c r="U217" s="261">
        <f>VLOOKUP($A217,[1]Planilha!$A$18:$BK$553,59,FALSE)</f>
        <v>121.5</v>
      </c>
      <c r="V217" s="261">
        <f t="shared" si="180"/>
        <v>0</v>
      </c>
      <c r="W217" s="289">
        <f t="shared" si="194"/>
        <v>87.36</v>
      </c>
      <c r="X217" s="261">
        <f>VLOOKUP($A217,[1]Planilha!$A$18:$BK$553,50,FALSE)</f>
        <v>87.36</v>
      </c>
      <c r="Y217" s="261">
        <f t="shared" si="181"/>
        <v>0</v>
      </c>
      <c r="Z217" s="289">
        <f t="shared" si="195"/>
        <v>120.77</v>
      </c>
      <c r="AA217" s="261">
        <f>VLOOKUP($A217,[1]Planilha!$A$18:$BK$553,58,FALSE)</f>
        <v>120.77</v>
      </c>
      <c r="AB217" s="261">
        <f t="shared" si="182"/>
        <v>0</v>
      </c>
      <c r="AC217" s="289">
        <f t="shared" si="196"/>
        <v>82.4</v>
      </c>
      <c r="AD217" s="261">
        <f>VLOOKUP($A217,[1]Planilha!$A$18:$BK$553,49,FALSE)</f>
        <v>82.4</v>
      </c>
      <c r="AE217" s="261">
        <f t="shared" si="183"/>
        <v>0</v>
      </c>
      <c r="AF217" s="290">
        <f t="shared" si="197"/>
        <v>113.91</v>
      </c>
      <c r="AG217" s="261">
        <f>VLOOKUP($A217,[1]Planilha!$A$18:$BK$553,57,FALSE)</f>
        <v>113.91</v>
      </c>
      <c r="AH217" s="261">
        <f t="shared" si="184"/>
        <v>0</v>
      </c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</row>
    <row r="218" spans="1:46" s="150" customFormat="1" ht="15">
      <c r="A218" s="684"/>
      <c r="B218" s="114" t="s">
        <v>365</v>
      </c>
      <c r="C218" s="114"/>
      <c r="D218" s="104"/>
      <c r="E218" s="305"/>
      <c r="F218" s="261" t="e">
        <f>VLOOKUP($A218,[1]Planilha!$A$18:$BK$553,54,FALSE)</f>
        <v>#N/A</v>
      </c>
      <c r="G218" s="261" t="e">
        <f t="shared" si="175"/>
        <v>#N/A</v>
      </c>
      <c r="H218" s="306"/>
      <c r="I218" s="261" t="e">
        <f>VLOOKUP($A218,[1]Planilha!$A$18:$BK$553,62,FALSE)</f>
        <v>#N/A</v>
      </c>
      <c r="J218" s="261" t="e">
        <f t="shared" si="176"/>
        <v>#N/A</v>
      </c>
      <c r="K218" s="378"/>
      <c r="L218" s="261" t="e">
        <f>VLOOKUP($A218,[1]Planilha!$A$18:$BK$553,52,FALSE)</f>
        <v>#N/A</v>
      </c>
      <c r="M218" s="261" t="e">
        <f t="shared" si="177"/>
        <v>#N/A</v>
      </c>
      <c r="N218" s="306"/>
      <c r="O218" s="261" t="e">
        <f>VLOOKUP($A218,[1]Planilha!$A$18:$BK$553,60,FALSE)</f>
        <v>#N/A</v>
      </c>
      <c r="P218" s="261" t="e">
        <f t="shared" si="178"/>
        <v>#N/A</v>
      </c>
      <c r="Q218" s="305"/>
      <c r="R218" s="261" t="e">
        <f>VLOOKUP($A218,[1]Planilha!$A$18:$BK$553,51,FALSE)</f>
        <v>#N/A</v>
      </c>
      <c r="S218" s="261" t="e">
        <f t="shared" si="179"/>
        <v>#N/A</v>
      </c>
      <c r="T218" s="306"/>
      <c r="U218" s="261" t="e">
        <f>VLOOKUP($A218,[1]Planilha!$A$18:$BK$553,59,FALSE)</f>
        <v>#N/A</v>
      </c>
      <c r="V218" s="261" t="e">
        <f t="shared" si="180"/>
        <v>#N/A</v>
      </c>
      <c r="W218" s="305"/>
      <c r="X218" s="261" t="e">
        <f>VLOOKUP($A218,[1]Planilha!$A$18:$BK$553,50,FALSE)</f>
        <v>#N/A</v>
      </c>
      <c r="Y218" s="261" t="e">
        <f t="shared" si="181"/>
        <v>#N/A</v>
      </c>
      <c r="Z218" s="306"/>
      <c r="AA218" s="261" t="e">
        <f>VLOOKUP($A218,[1]Planilha!$A$18:$BK$553,58,FALSE)</f>
        <v>#N/A</v>
      </c>
      <c r="AB218" s="261" t="e">
        <f t="shared" si="182"/>
        <v>#N/A</v>
      </c>
      <c r="AC218" s="305"/>
      <c r="AD218" s="261" t="e">
        <f>VLOOKUP($A218,[1]Planilha!$A$18:$BK$553,49,FALSE)</f>
        <v>#N/A</v>
      </c>
      <c r="AE218" s="261" t="e">
        <f t="shared" si="183"/>
        <v>#N/A</v>
      </c>
      <c r="AF218" s="307"/>
      <c r="AG218" s="261" t="e">
        <f>VLOOKUP($A218,[1]Planilha!$A$18:$BK$553,57,FALSE)</f>
        <v>#N/A</v>
      </c>
      <c r="AH218" s="261" t="e">
        <f t="shared" si="184"/>
        <v>#N/A</v>
      </c>
    </row>
    <row r="219" spans="1:46">
      <c r="A219" s="690">
        <v>7891721200137</v>
      </c>
      <c r="B219" s="175" t="s">
        <v>75</v>
      </c>
      <c r="C219" s="117" t="s">
        <v>517</v>
      </c>
      <c r="D219" s="94" t="s">
        <v>374</v>
      </c>
      <c r="E219" s="282">
        <f t="shared" ref="E219:E224" si="199">ROUND(K219*1.025,2)</f>
        <v>13.16</v>
      </c>
      <c r="F219" s="261">
        <f>VLOOKUP($A219,[1]Planilha!$A$18:$BK$553,54,FALSE)</f>
        <v>13</v>
      </c>
      <c r="G219" s="261">
        <f t="shared" si="175"/>
        <v>0.16000000000000014</v>
      </c>
      <c r="H219" s="282">
        <f t="shared" ref="H219:H224" si="200">ROUND(E219/0.723358,2)</f>
        <v>18.190000000000001</v>
      </c>
      <c r="I219" s="261">
        <f>VLOOKUP($A219,[1]Planilha!$A$18:$BK$553,62,FALSE)</f>
        <v>18.190000000000001</v>
      </c>
      <c r="J219" s="261">
        <f t="shared" si="176"/>
        <v>0</v>
      </c>
      <c r="K219" s="378">
        <f>VLOOKUP(A219,[2]Plan1!$H$2:$J$279,3,FALSE)</f>
        <v>12.84342806489537</v>
      </c>
      <c r="L219" s="261">
        <f>VLOOKUP($A219,[1]Planilha!$A$18:$BK$553,52,FALSE)</f>
        <v>12.84</v>
      </c>
      <c r="M219" s="261">
        <f t="shared" si="177"/>
        <v>3.4280648953703974E-3</v>
      </c>
      <c r="N219" s="492">
        <v>17.75</v>
      </c>
      <c r="O219" s="261">
        <f>VLOOKUP($A219,[1]Planilha!$A$18:$BK$553,60,FALSE)</f>
        <v>17.75</v>
      </c>
      <c r="P219" s="261">
        <f t="shared" si="178"/>
        <v>0</v>
      </c>
      <c r="Q219" s="282">
        <f t="shared" ref="Q219:Q224" si="201">ROUND(K219*0.993939,2)</f>
        <v>12.77</v>
      </c>
      <c r="R219" s="261">
        <f>VLOOKUP($A219,[1]Planilha!$A$18:$BK$553,51,FALSE)</f>
        <v>12.77</v>
      </c>
      <c r="S219" s="261">
        <f t="shared" si="179"/>
        <v>0</v>
      </c>
      <c r="T219" s="282">
        <f t="shared" ref="T219:T224" si="202">ROUND(Q219/0.723358,2)</f>
        <v>17.649999999999999</v>
      </c>
      <c r="U219" s="261">
        <f>VLOOKUP($A219,[1]Planilha!$A$18:$BK$553,59,FALSE)</f>
        <v>17.649999999999999</v>
      </c>
      <c r="V219" s="261">
        <f t="shared" si="180"/>
        <v>0</v>
      </c>
      <c r="W219" s="282">
        <f t="shared" si="185"/>
        <v>12.69</v>
      </c>
      <c r="X219" s="261">
        <f>VLOOKUP($A219,[1]Planilha!$A$18:$BK$553,50,FALSE)</f>
        <v>12.69</v>
      </c>
      <c r="Y219" s="261">
        <f t="shared" si="181"/>
        <v>0</v>
      </c>
      <c r="Z219" s="282">
        <f t="shared" si="186"/>
        <v>17.54</v>
      </c>
      <c r="AA219" s="261">
        <f>VLOOKUP($A219,[1]Planilha!$A$18:$BK$553,58,FALSE)</f>
        <v>17.54</v>
      </c>
      <c r="AB219" s="261">
        <f t="shared" si="182"/>
        <v>0</v>
      </c>
      <c r="AC219" s="282">
        <f t="shared" si="187"/>
        <v>11.97</v>
      </c>
      <c r="AD219" s="261">
        <f>VLOOKUP($A219,[1]Planilha!$A$18:$BK$553,49,FALSE)</f>
        <v>11.97</v>
      </c>
      <c r="AE219" s="261">
        <f t="shared" si="183"/>
        <v>0</v>
      </c>
      <c r="AF219" s="283">
        <f t="shared" si="188"/>
        <v>16.55</v>
      </c>
      <c r="AG219" s="261">
        <f>VLOOKUP($A219,[1]Planilha!$A$18:$BK$553,57,FALSE)</f>
        <v>16.55</v>
      </c>
      <c r="AH219" s="261">
        <f t="shared" si="184"/>
        <v>0</v>
      </c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</row>
    <row r="220" spans="1:46">
      <c r="A220" s="229">
        <v>7891721200144</v>
      </c>
      <c r="B220" s="175" t="s">
        <v>73</v>
      </c>
      <c r="C220" s="121" t="s">
        <v>518</v>
      </c>
      <c r="D220" s="94" t="s">
        <v>366</v>
      </c>
      <c r="E220" s="284">
        <f t="shared" si="199"/>
        <v>27.17</v>
      </c>
      <c r="F220" s="261">
        <f>VLOOKUP($A220,[1]Planilha!$A$18:$BK$553,54,FALSE)</f>
        <v>26.83</v>
      </c>
      <c r="G220" s="261">
        <f t="shared" si="175"/>
        <v>0.34000000000000341</v>
      </c>
      <c r="H220" s="284">
        <f t="shared" si="200"/>
        <v>37.56</v>
      </c>
      <c r="I220" s="261">
        <f>VLOOKUP($A220,[1]Planilha!$A$18:$BK$553,62,FALSE)</f>
        <v>37.56</v>
      </c>
      <c r="J220" s="261">
        <f t="shared" si="176"/>
        <v>0</v>
      </c>
      <c r="K220" s="378">
        <f>VLOOKUP(A220,[2]Plan1!$H$2:$J$279,3,FALSE)</f>
        <v>26.503974717932536</v>
      </c>
      <c r="L220" s="261">
        <f>VLOOKUP($A220,[1]Planilha!$A$18:$BK$553,52,FALSE)</f>
        <v>26.5</v>
      </c>
      <c r="M220" s="261">
        <f t="shared" si="177"/>
        <v>3.9747179325360094E-3</v>
      </c>
      <c r="N220" s="284">
        <f t="shared" ref="N220:N224" si="203">ROUND(K220/0.723358,2)</f>
        <v>36.64</v>
      </c>
      <c r="O220" s="261">
        <f>VLOOKUP($A220,[1]Planilha!$A$18:$BK$553,60,FALSE)</f>
        <v>36.64</v>
      </c>
      <c r="P220" s="261">
        <f t="shared" si="178"/>
        <v>0</v>
      </c>
      <c r="Q220" s="284">
        <f t="shared" si="201"/>
        <v>26.34</v>
      </c>
      <c r="R220" s="261">
        <f>VLOOKUP($A220,[1]Planilha!$A$18:$BK$553,51,FALSE)</f>
        <v>26.34</v>
      </c>
      <c r="S220" s="261">
        <f t="shared" si="179"/>
        <v>0</v>
      </c>
      <c r="T220" s="284">
        <f t="shared" si="202"/>
        <v>36.409999999999997</v>
      </c>
      <c r="U220" s="261">
        <f>VLOOKUP($A220,[1]Planilha!$A$18:$BK$553,59,FALSE)</f>
        <v>36.409999999999997</v>
      </c>
      <c r="V220" s="261">
        <f t="shared" si="180"/>
        <v>0</v>
      </c>
      <c r="W220" s="284">
        <f t="shared" si="185"/>
        <v>26.18</v>
      </c>
      <c r="X220" s="261">
        <f>VLOOKUP($A220,[1]Planilha!$A$18:$BK$553,50,FALSE)</f>
        <v>26.18</v>
      </c>
      <c r="Y220" s="261">
        <f t="shared" si="181"/>
        <v>0</v>
      </c>
      <c r="Z220" s="284">
        <f t="shared" si="186"/>
        <v>36.19</v>
      </c>
      <c r="AA220" s="261">
        <f>VLOOKUP($A220,[1]Planilha!$A$18:$BK$553,58,FALSE)</f>
        <v>36.19</v>
      </c>
      <c r="AB220" s="261">
        <f t="shared" si="182"/>
        <v>0</v>
      </c>
      <c r="AC220" s="284">
        <f t="shared" si="187"/>
        <v>24.7</v>
      </c>
      <c r="AD220" s="261">
        <f>VLOOKUP($A220,[1]Planilha!$A$18:$BK$553,49,FALSE)</f>
        <v>24.7</v>
      </c>
      <c r="AE220" s="261">
        <f t="shared" si="183"/>
        <v>0</v>
      </c>
      <c r="AF220" s="285">
        <f t="shared" si="188"/>
        <v>34.15</v>
      </c>
      <c r="AG220" s="261">
        <f>VLOOKUP($A220,[1]Planilha!$A$18:$BK$553,57,FALSE)</f>
        <v>34.15</v>
      </c>
      <c r="AH220" s="261">
        <f t="shared" si="184"/>
        <v>0</v>
      </c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</row>
    <row r="221" spans="1:46">
      <c r="A221" s="229">
        <v>7891721200151</v>
      </c>
      <c r="B221" s="175" t="s">
        <v>70</v>
      </c>
      <c r="C221" s="121" t="s">
        <v>519</v>
      </c>
      <c r="D221" s="94" t="s">
        <v>367</v>
      </c>
      <c r="E221" s="284">
        <f t="shared" si="199"/>
        <v>51.24</v>
      </c>
      <c r="F221" s="261">
        <f>VLOOKUP($A221,[1]Planilha!$A$18:$BK$553,54,FALSE)</f>
        <v>50.61</v>
      </c>
      <c r="G221" s="261">
        <f t="shared" si="175"/>
        <v>0.63000000000000256</v>
      </c>
      <c r="H221" s="284">
        <f t="shared" si="200"/>
        <v>70.84</v>
      </c>
      <c r="I221" s="261">
        <f>VLOOKUP($A221,[1]Planilha!$A$18:$BK$553,62,FALSE)</f>
        <v>70.84</v>
      </c>
      <c r="J221" s="261">
        <f t="shared" si="176"/>
        <v>0</v>
      </c>
      <c r="K221" s="378">
        <f>VLOOKUP(A221,[2]Plan1!$H$2:$J$279,3,FALSE)</f>
        <v>49.990896187341519</v>
      </c>
      <c r="L221" s="261">
        <f>VLOOKUP($A221,[1]Planilha!$A$18:$BK$553,52,FALSE)</f>
        <v>49.99</v>
      </c>
      <c r="M221" s="261">
        <f t="shared" si="177"/>
        <v>8.9618734151741819E-4</v>
      </c>
      <c r="N221" s="284">
        <f t="shared" si="203"/>
        <v>69.11</v>
      </c>
      <c r="O221" s="261">
        <f>VLOOKUP($A221,[1]Planilha!$A$18:$BK$553,60,FALSE)</f>
        <v>69.11</v>
      </c>
      <c r="P221" s="261">
        <f t="shared" si="178"/>
        <v>0</v>
      </c>
      <c r="Q221" s="284">
        <f t="shared" si="201"/>
        <v>49.69</v>
      </c>
      <c r="R221" s="261">
        <f>VLOOKUP($A221,[1]Planilha!$A$18:$BK$553,51,FALSE)</f>
        <v>49.69</v>
      </c>
      <c r="S221" s="261">
        <f t="shared" si="179"/>
        <v>0</v>
      </c>
      <c r="T221" s="284">
        <f t="shared" si="202"/>
        <v>68.69</v>
      </c>
      <c r="U221" s="261">
        <f>VLOOKUP($A221,[1]Planilha!$A$18:$BK$553,59,FALSE)</f>
        <v>68.69</v>
      </c>
      <c r="V221" s="261">
        <f t="shared" si="180"/>
        <v>0</v>
      </c>
      <c r="W221" s="284">
        <f t="shared" si="185"/>
        <v>49.39</v>
      </c>
      <c r="X221" s="261">
        <f>VLOOKUP($A221,[1]Planilha!$A$18:$BK$553,50,FALSE)</f>
        <v>49.39</v>
      </c>
      <c r="Y221" s="261">
        <f t="shared" si="181"/>
        <v>0</v>
      </c>
      <c r="Z221" s="284">
        <f t="shared" si="186"/>
        <v>68.28</v>
      </c>
      <c r="AA221" s="261">
        <f>VLOOKUP($A221,[1]Planilha!$A$18:$BK$553,58,FALSE)</f>
        <v>68.28</v>
      </c>
      <c r="AB221" s="261">
        <f t="shared" si="182"/>
        <v>0</v>
      </c>
      <c r="AC221" s="284">
        <f t="shared" si="187"/>
        <v>46.58</v>
      </c>
      <c r="AD221" s="261">
        <f>VLOOKUP($A221,[1]Planilha!$A$18:$BK$553,49,FALSE)</f>
        <v>46.58</v>
      </c>
      <c r="AE221" s="261">
        <f t="shared" si="183"/>
        <v>0</v>
      </c>
      <c r="AF221" s="285">
        <f t="shared" si="188"/>
        <v>64.39</v>
      </c>
      <c r="AG221" s="261">
        <f>VLOOKUP($A221,[1]Planilha!$A$18:$BK$553,57,FALSE)</f>
        <v>64.39</v>
      </c>
      <c r="AH221" s="261">
        <f t="shared" si="184"/>
        <v>0</v>
      </c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</row>
    <row r="222" spans="1:46">
      <c r="A222" s="229">
        <v>7891721200168</v>
      </c>
      <c r="B222" s="175" t="s">
        <v>74</v>
      </c>
      <c r="C222" s="121" t="s">
        <v>520</v>
      </c>
      <c r="D222" s="94" t="s">
        <v>375</v>
      </c>
      <c r="E222" s="284">
        <f t="shared" si="199"/>
        <v>23.38</v>
      </c>
      <c r="F222" s="261">
        <f>VLOOKUP($A222,[1]Planilha!$A$18:$BK$553,54,FALSE)</f>
        <v>23.09</v>
      </c>
      <c r="G222" s="261">
        <f t="shared" si="175"/>
        <v>0.28999999999999915</v>
      </c>
      <c r="H222" s="284">
        <f t="shared" si="200"/>
        <v>32.32</v>
      </c>
      <c r="I222" s="261">
        <f>VLOOKUP($A222,[1]Planilha!$A$18:$BK$553,62,FALSE)</f>
        <v>32.32</v>
      </c>
      <c r="J222" s="261">
        <f t="shared" si="176"/>
        <v>0</v>
      </c>
      <c r="K222" s="378">
        <f>VLOOKUP(A222,[2]Plan1!$H$2:$J$279,3,FALSE)</f>
        <v>22.80598931262416</v>
      </c>
      <c r="L222" s="261">
        <f>VLOOKUP($A222,[1]Planilha!$A$18:$BK$553,52,FALSE)</f>
        <v>22.81</v>
      </c>
      <c r="M222" s="261">
        <f t="shared" si="177"/>
        <v>-4.0106873758389838E-3</v>
      </c>
      <c r="N222" s="284">
        <f>ROUND(K222/0.723358,2)</f>
        <v>31.53</v>
      </c>
      <c r="O222" s="261">
        <f>VLOOKUP($A222,[1]Planilha!$A$18:$BK$553,60,FALSE)</f>
        <v>31.53</v>
      </c>
      <c r="P222" s="261">
        <f t="shared" si="178"/>
        <v>0</v>
      </c>
      <c r="Q222" s="284">
        <f t="shared" si="201"/>
        <v>22.67</v>
      </c>
      <c r="R222" s="261">
        <f>VLOOKUP($A222,[1]Planilha!$A$18:$BK$553,51,FALSE)</f>
        <v>22.67</v>
      </c>
      <c r="S222" s="261">
        <f t="shared" si="179"/>
        <v>0</v>
      </c>
      <c r="T222" s="284">
        <f t="shared" si="202"/>
        <v>31.34</v>
      </c>
      <c r="U222" s="261">
        <f>VLOOKUP($A222,[1]Planilha!$A$18:$BK$553,59,FALSE)</f>
        <v>31.34</v>
      </c>
      <c r="V222" s="261">
        <f t="shared" si="180"/>
        <v>0</v>
      </c>
      <c r="W222" s="284">
        <f t="shared" si="185"/>
        <v>22.53</v>
      </c>
      <c r="X222" s="261">
        <f>VLOOKUP($A222,[1]Planilha!$A$18:$BK$553,50,FALSE)</f>
        <v>22.53</v>
      </c>
      <c r="Y222" s="261">
        <f t="shared" si="181"/>
        <v>0</v>
      </c>
      <c r="Z222" s="284">
        <f t="shared" si="186"/>
        <v>31.15</v>
      </c>
      <c r="AA222" s="261">
        <f>VLOOKUP($A222,[1]Planilha!$A$18:$BK$553,58,FALSE)</f>
        <v>31.15</v>
      </c>
      <c r="AB222" s="261">
        <f t="shared" si="182"/>
        <v>0</v>
      </c>
      <c r="AC222" s="284">
        <f t="shared" si="187"/>
        <v>21.25</v>
      </c>
      <c r="AD222" s="261">
        <f>VLOOKUP($A222,[1]Planilha!$A$18:$BK$553,49,FALSE)</f>
        <v>21.25</v>
      </c>
      <c r="AE222" s="261">
        <f t="shared" si="183"/>
        <v>0</v>
      </c>
      <c r="AF222" s="285">
        <f t="shared" si="188"/>
        <v>29.38</v>
      </c>
      <c r="AG222" s="261">
        <f>VLOOKUP($A222,[1]Planilha!$A$18:$BK$553,57,FALSE)</f>
        <v>29.38</v>
      </c>
      <c r="AH222" s="261">
        <f t="shared" si="184"/>
        <v>0</v>
      </c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</row>
    <row r="223" spans="1:46">
      <c r="A223" s="229">
        <v>7891721200175</v>
      </c>
      <c r="B223" s="175" t="s">
        <v>71</v>
      </c>
      <c r="C223" s="121" t="s">
        <v>521</v>
      </c>
      <c r="D223" s="94" t="s">
        <v>368</v>
      </c>
      <c r="E223" s="284">
        <f t="shared" si="199"/>
        <v>48.38</v>
      </c>
      <c r="F223" s="261">
        <f>VLOOKUP($A223,[1]Planilha!$A$18:$BK$553,54,FALSE)</f>
        <v>47.79</v>
      </c>
      <c r="G223" s="261">
        <f t="shared" si="175"/>
        <v>0.59000000000000341</v>
      </c>
      <c r="H223" s="284">
        <f t="shared" si="200"/>
        <v>66.88</v>
      </c>
      <c r="I223" s="261">
        <f>VLOOKUP($A223,[1]Planilha!$A$18:$BK$553,62,FALSE)</f>
        <v>66.88</v>
      </c>
      <c r="J223" s="261">
        <f t="shared" si="176"/>
        <v>0</v>
      </c>
      <c r="K223" s="378">
        <f>VLOOKUP(A223,[2]Plan1!$H$2:$J$279,3,FALSE)</f>
        <v>47.204312284191303</v>
      </c>
      <c r="L223" s="261">
        <f>VLOOKUP($A223,[1]Planilha!$A$18:$BK$553,52,FALSE)</f>
        <v>47.2</v>
      </c>
      <c r="M223" s="261">
        <f t="shared" si="177"/>
        <v>4.312284191300364E-3</v>
      </c>
      <c r="N223" s="284">
        <f t="shared" si="203"/>
        <v>65.260000000000005</v>
      </c>
      <c r="O223" s="261">
        <f>VLOOKUP($A223,[1]Planilha!$A$18:$BK$553,60,FALSE)</f>
        <v>65.260000000000005</v>
      </c>
      <c r="P223" s="261">
        <f t="shared" si="178"/>
        <v>0</v>
      </c>
      <c r="Q223" s="284">
        <f t="shared" si="201"/>
        <v>46.92</v>
      </c>
      <c r="R223" s="261">
        <f>VLOOKUP($A223,[1]Planilha!$A$18:$BK$553,51,FALSE)</f>
        <v>46.92</v>
      </c>
      <c r="S223" s="261">
        <f t="shared" si="179"/>
        <v>0</v>
      </c>
      <c r="T223" s="284">
        <f t="shared" si="202"/>
        <v>64.86</v>
      </c>
      <c r="U223" s="261">
        <f>VLOOKUP($A223,[1]Planilha!$A$18:$BK$553,59,FALSE)</f>
        <v>64.86</v>
      </c>
      <c r="V223" s="261">
        <f t="shared" si="180"/>
        <v>0</v>
      </c>
      <c r="W223" s="284">
        <f t="shared" si="185"/>
        <v>46.64</v>
      </c>
      <c r="X223" s="261">
        <f>VLOOKUP($A223,[1]Planilha!$A$18:$BK$553,50,FALSE)</f>
        <v>46.64</v>
      </c>
      <c r="Y223" s="261">
        <f t="shared" si="181"/>
        <v>0</v>
      </c>
      <c r="Z223" s="284">
        <f t="shared" si="186"/>
        <v>64.48</v>
      </c>
      <c r="AA223" s="261">
        <f>VLOOKUP($A223,[1]Planilha!$A$18:$BK$553,58,FALSE)</f>
        <v>64.48</v>
      </c>
      <c r="AB223" s="261">
        <f t="shared" si="182"/>
        <v>0</v>
      </c>
      <c r="AC223" s="284">
        <f t="shared" si="187"/>
        <v>43.99</v>
      </c>
      <c r="AD223" s="261">
        <f>VLOOKUP($A223,[1]Planilha!$A$18:$BK$553,49,FALSE)</f>
        <v>43.99</v>
      </c>
      <c r="AE223" s="261">
        <f t="shared" si="183"/>
        <v>0</v>
      </c>
      <c r="AF223" s="285">
        <f t="shared" si="188"/>
        <v>60.81</v>
      </c>
      <c r="AG223" s="261">
        <f>VLOOKUP($A223,[1]Planilha!$A$18:$BK$553,57,FALSE)</f>
        <v>60.81</v>
      </c>
      <c r="AH223" s="261">
        <f t="shared" si="184"/>
        <v>0</v>
      </c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</row>
    <row r="224" spans="1:46">
      <c r="A224" s="229">
        <v>7891721200182</v>
      </c>
      <c r="B224" s="175" t="s">
        <v>72</v>
      </c>
      <c r="C224" s="122" t="s">
        <v>522</v>
      </c>
      <c r="D224" s="94" t="s">
        <v>369</v>
      </c>
      <c r="E224" s="289">
        <f t="shared" si="199"/>
        <v>90.32</v>
      </c>
      <c r="F224" s="261">
        <f>VLOOKUP($A224,[1]Planilha!$A$18:$BK$553,54,FALSE)</f>
        <v>89.2</v>
      </c>
      <c r="G224" s="261">
        <f t="shared" si="175"/>
        <v>1.1199999999999903</v>
      </c>
      <c r="H224" s="289">
        <f t="shared" si="200"/>
        <v>124.86</v>
      </c>
      <c r="I224" s="261">
        <f>VLOOKUP($A224,[1]Planilha!$A$18:$BK$553,62,FALSE)</f>
        <v>124.85</v>
      </c>
      <c r="J224" s="261">
        <f t="shared" si="176"/>
        <v>1.0000000000005116E-2</v>
      </c>
      <c r="K224" s="378">
        <f>VLOOKUP(A224,[2]Plan1!$H$2:$J$279,3,FALSE)</f>
        <v>88.11262108795674</v>
      </c>
      <c r="L224" s="261">
        <f>VLOOKUP($A224,[1]Planilha!$A$18:$BK$553,52,FALSE)</f>
        <v>88.11</v>
      </c>
      <c r="M224" s="261">
        <f t="shared" si="177"/>
        <v>2.621087956740098E-3</v>
      </c>
      <c r="N224" s="289">
        <f t="shared" si="203"/>
        <v>121.81</v>
      </c>
      <c r="O224" s="261">
        <f>VLOOKUP($A224,[1]Planilha!$A$18:$BK$553,60,FALSE)</f>
        <v>121.81</v>
      </c>
      <c r="P224" s="261">
        <f t="shared" si="178"/>
        <v>0</v>
      </c>
      <c r="Q224" s="289">
        <f t="shared" si="201"/>
        <v>87.58</v>
      </c>
      <c r="R224" s="261">
        <f>VLOOKUP($A224,[1]Planilha!$A$18:$BK$553,51,FALSE)</f>
        <v>87.58</v>
      </c>
      <c r="S224" s="261">
        <f t="shared" si="179"/>
        <v>0</v>
      </c>
      <c r="T224" s="289">
        <f t="shared" si="202"/>
        <v>121.07</v>
      </c>
      <c r="U224" s="261">
        <f>VLOOKUP($A224,[1]Planilha!$A$18:$BK$553,59,FALSE)</f>
        <v>121.07</v>
      </c>
      <c r="V224" s="261">
        <f t="shared" si="180"/>
        <v>0</v>
      </c>
      <c r="W224" s="289">
        <f t="shared" si="185"/>
        <v>87.05</v>
      </c>
      <c r="X224" s="261">
        <f>VLOOKUP($A224,[1]Planilha!$A$18:$BK$553,50,FALSE)</f>
        <v>87.05</v>
      </c>
      <c r="Y224" s="261">
        <f t="shared" si="181"/>
        <v>0</v>
      </c>
      <c r="Z224" s="289">
        <f t="shared" si="186"/>
        <v>120.34</v>
      </c>
      <c r="AA224" s="261">
        <f>VLOOKUP($A224,[1]Planilha!$A$18:$BK$553,58,FALSE)</f>
        <v>120.34</v>
      </c>
      <c r="AB224" s="261">
        <f t="shared" si="182"/>
        <v>0</v>
      </c>
      <c r="AC224" s="289">
        <f t="shared" si="187"/>
        <v>82.1</v>
      </c>
      <c r="AD224" s="261">
        <f>VLOOKUP($A224,[1]Planilha!$A$18:$BK$553,49,FALSE)</f>
        <v>82.1</v>
      </c>
      <c r="AE224" s="261">
        <f t="shared" si="183"/>
        <v>0</v>
      </c>
      <c r="AF224" s="290">
        <f t="shared" si="188"/>
        <v>113.5</v>
      </c>
      <c r="AG224" s="261">
        <f>VLOOKUP($A224,[1]Planilha!$A$18:$BK$553,57,FALSE)</f>
        <v>113.5</v>
      </c>
      <c r="AH224" s="261">
        <f t="shared" si="184"/>
        <v>0</v>
      </c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</row>
    <row r="225" spans="1:46" s="150" customFormat="1" ht="15">
      <c r="A225" s="684"/>
      <c r="B225" s="114" t="s">
        <v>598</v>
      </c>
      <c r="C225" s="114"/>
      <c r="D225" s="104"/>
      <c r="E225" s="305"/>
      <c r="F225" s="261" t="e">
        <f>VLOOKUP($A225,[1]Planilha!$A$18:$BK$553,54,FALSE)</f>
        <v>#N/A</v>
      </c>
      <c r="G225" s="261" t="e">
        <f t="shared" si="175"/>
        <v>#N/A</v>
      </c>
      <c r="H225" s="306"/>
      <c r="I225" s="261" t="e">
        <f>VLOOKUP($A225,[1]Planilha!$A$18:$BK$553,62,FALSE)</f>
        <v>#N/A</v>
      </c>
      <c r="J225" s="261" t="e">
        <f t="shared" si="176"/>
        <v>#N/A</v>
      </c>
      <c r="K225" s="378"/>
      <c r="L225" s="261" t="e">
        <f>VLOOKUP($A225,[1]Planilha!$A$18:$BK$553,52,FALSE)</f>
        <v>#N/A</v>
      </c>
      <c r="M225" s="261" t="e">
        <f t="shared" si="177"/>
        <v>#N/A</v>
      </c>
      <c r="N225" s="306"/>
      <c r="O225" s="261" t="e">
        <f>VLOOKUP($A225,[1]Planilha!$A$18:$BK$553,60,FALSE)</f>
        <v>#N/A</v>
      </c>
      <c r="P225" s="261" t="e">
        <f t="shared" si="178"/>
        <v>#N/A</v>
      </c>
      <c r="Q225" s="305"/>
      <c r="R225" s="261" t="e">
        <f>VLOOKUP($A225,[1]Planilha!$A$18:$BK$553,51,FALSE)</f>
        <v>#N/A</v>
      </c>
      <c r="S225" s="261" t="e">
        <f t="shared" si="179"/>
        <v>#N/A</v>
      </c>
      <c r="T225" s="306"/>
      <c r="U225" s="261" t="e">
        <f>VLOOKUP($A225,[1]Planilha!$A$18:$BK$553,59,FALSE)</f>
        <v>#N/A</v>
      </c>
      <c r="V225" s="261" t="e">
        <f t="shared" si="180"/>
        <v>#N/A</v>
      </c>
      <c r="W225" s="305"/>
      <c r="X225" s="261" t="e">
        <f>VLOOKUP($A225,[1]Planilha!$A$18:$BK$553,50,FALSE)</f>
        <v>#N/A</v>
      </c>
      <c r="Y225" s="261" t="e">
        <f t="shared" si="181"/>
        <v>#N/A</v>
      </c>
      <c r="Z225" s="306"/>
      <c r="AA225" s="261" t="e">
        <f>VLOOKUP($A225,[1]Planilha!$A$18:$BK$553,58,FALSE)</f>
        <v>#N/A</v>
      </c>
      <c r="AB225" s="261" t="e">
        <f t="shared" si="182"/>
        <v>#N/A</v>
      </c>
      <c r="AC225" s="305"/>
      <c r="AD225" s="261" t="e">
        <f>VLOOKUP($A225,[1]Planilha!$A$18:$BK$553,49,FALSE)</f>
        <v>#N/A</v>
      </c>
      <c r="AE225" s="261" t="e">
        <f t="shared" si="183"/>
        <v>#N/A</v>
      </c>
      <c r="AF225" s="307"/>
      <c r="AG225" s="261" t="e">
        <f>VLOOKUP($A225,[1]Planilha!$A$18:$BK$553,57,FALSE)</f>
        <v>#N/A</v>
      </c>
      <c r="AH225" s="261" t="e">
        <f t="shared" si="184"/>
        <v>#N/A</v>
      </c>
    </row>
    <row r="226" spans="1:46">
      <c r="A226" s="229">
        <v>7891721019739</v>
      </c>
      <c r="B226" s="175">
        <v>1008903620041</v>
      </c>
      <c r="C226" s="117" t="s">
        <v>599</v>
      </c>
      <c r="D226" s="218" t="s">
        <v>632</v>
      </c>
      <c r="E226" s="282">
        <f>K226</f>
        <v>39.148361075460031</v>
      </c>
      <c r="F226" s="261">
        <f>VLOOKUP($A226,[1]Planilha!$A$18:$BK$553,54,FALSE)</f>
        <v>39.630000000000003</v>
      </c>
      <c r="G226" s="261">
        <f t="shared" si="175"/>
        <v>-0.48163892453997192</v>
      </c>
      <c r="H226" s="282">
        <f t="shared" ref="H226:H228" si="204">N226</f>
        <v>54.12</v>
      </c>
      <c r="I226" s="261">
        <f>VLOOKUP($A226,[1]Planilha!$A$18:$BK$553,62,FALSE)</f>
        <v>55.48</v>
      </c>
      <c r="J226" s="261">
        <f t="shared" si="176"/>
        <v>-1.3599999999999994</v>
      </c>
      <c r="K226" s="378">
        <f>VLOOKUP(A226,[2]Plan1!$H$2:$J$279,3,FALSE)</f>
        <v>39.148361075460031</v>
      </c>
      <c r="L226" s="261">
        <f>VLOOKUP($A226,[1]Planilha!$A$18:$BK$553,52,FALSE)</f>
        <v>39.15</v>
      </c>
      <c r="M226" s="261">
        <f t="shared" si="177"/>
        <v>-1.6389245399679453E-3</v>
      </c>
      <c r="N226" s="282">
        <f t="shared" ref="N226:N228" si="205">ROUND(K226/0.723358,2)</f>
        <v>54.12</v>
      </c>
      <c r="O226" s="261">
        <f>VLOOKUP($A226,[1]Planilha!$A$18:$BK$553,60,FALSE)</f>
        <v>54.12</v>
      </c>
      <c r="P226" s="261">
        <f t="shared" si="178"/>
        <v>0</v>
      </c>
      <c r="Q226" s="282">
        <f t="shared" ref="Q226:Q228" si="206">ROUND(K226*0.993939,2)</f>
        <v>38.909999999999997</v>
      </c>
      <c r="R226" s="261">
        <f>VLOOKUP($A226,[1]Planilha!$A$18:$BK$553,51,FALSE)</f>
        <v>38.909999999999997</v>
      </c>
      <c r="S226" s="261">
        <f t="shared" si="179"/>
        <v>0</v>
      </c>
      <c r="T226" s="282">
        <f t="shared" ref="T226:T228" si="207">ROUND(Q226/0.723358,2)</f>
        <v>53.79</v>
      </c>
      <c r="U226" s="261">
        <f>VLOOKUP($A226,[1]Planilha!$A$18:$BK$553,59,FALSE)</f>
        <v>53.79</v>
      </c>
      <c r="V226" s="261">
        <f t="shared" si="180"/>
        <v>0</v>
      </c>
      <c r="W226" s="282">
        <f t="shared" si="185"/>
        <v>38.68</v>
      </c>
      <c r="X226" s="261">
        <f>VLOOKUP($A226,[1]Planilha!$A$18:$BK$553,50,FALSE)</f>
        <v>38.68</v>
      </c>
      <c r="Y226" s="261">
        <f t="shared" si="181"/>
        <v>0</v>
      </c>
      <c r="Z226" s="282">
        <f t="shared" si="186"/>
        <v>53.47</v>
      </c>
      <c r="AA226" s="261">
        <f>VLOOKUP($A226,[1]Planilha!$A$18:$BK$553,58,FALSE)</f>
        <v>53.47</v>
      </c>
      <c r="AB226" s="261">
        <f t="shared" si="182"/>
        <v>0</v>
      </c>
      <c r="AC226" s="282">
        <f t="shared" si="187"/>
        <v>36.479999999999997</v>
      </c>
      <c r="AD226" s="261">
        <f>VLOOKUP($A226,[1]Planilha!$A$18:$BK$553,49,FALSE)</f>
        <v>36.479999999999997</v>
      </c>
      <c r="AE226" s="261">
        <f t="shared" si="183"/>
        <v>0</v>
      </c>
      <c r="AF226" s="283">
        <f t="shared" si="188"/>
        <v>50.43</v>
      </c>
      <c r="AG226" s="261">
        <f>VLOOKUP($A226,[1]Planilha!$A$18:$BK$553,57,FALSE)</f>
        <v>50.43</v>
      </c>
      <c r="AH226" s="261">
        <f t="shared" si="184"/>
        <v>0</v>
      </c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</row>
    <row r="227" spans="1:46">
      <c r="A227" s="229">
        <v>7891721019753</v>
      </c>
      <c r="B227" s="175">
        <v>1008903620031</v>
      </c>
      <c r="C227" s="121" t="s">
        <v>600</v>
      </c>
      <c r="D227" s="94" t="s">
        <v>633</v>
      </c>
      <c r="E227" s="284">
        <f>K227</f>
        <v>57.847805688704923</v>
      </c>
      <c r="F227" s="261">
        <f>VLOOKUP($A227,[1]Planilha!$A$18:$BK$553,54,FALSE)</f>
        <v>58.56</v>
      </c>
      <c r="G227" s="261">
        <f t="shared" si="175"/>
        <v>-0.71219431129507882</v>
      </c>
      <c r="H227" s="284">
        <f t="shared" si="204"/>
        <v>79.97</v>
      </c>
      <c r="I227" s="261">
        <f>VLOOKUP($A227,[1]Planilha!$A$18:$BK$553,62,FALSE)</f>
        <v>81.96</v>
      </c>
      <c r="J227" s="261">
        <f t="shared" si="176"/>
        <v>-1.9899999999999949</v>
      </c>
      <c r="K227" s="378">
        <f>VLOOKUP(A227,[2]Plan1!$H$2:$J$279,3,FALSE)</f>
        <v>57.847805688704923</v>
      </c>
      <c r="L227" s="261">
        <f>VLOOKUP($A227,[1]Planilha!$A$18:$BK$553,52,FALSE)</f>
        <v>57.85</v>
      </c>
      <c r="M227" s="261">
        <f t="shared" si="177"/>
        <v>-2.1943112950779664E-3</v>
      </c>
      <c r="N227" s="284">
        <f>ROUND(K227/0.723358,2)</f>
        <v>79.97</v>
      </c>
      <c r="O227" s="261">
        <f>VLOOKUP($A227,[1]Planilha!$A$18:$BK$553,60,FALSE)</f>
        <v>79.97</v>
      </c>
      <c r="P227" s="261">
        <f t="shared" si="178"/>
        <v>0</v>
      </c>
      <c r="Q227" s="284">
        <f t="shared" si="206"/>
        <v>57.5</v>
      </c>
      <c r="R227" s="261">
        <f>VLOOKUP($A227,[1]Planilha!$A$18:$BK$553,51,FALSE)</f>
        <v>57.5</v>
      </c>
      <c r="S227" s="261">
        <f t="shared" si="179"/>
        <v>0</v>
      </c>
      <c r="T227" s="284">
        <f t="shared" si="207"/>
        <v>79.489999999999995</v>
      </c>
      <c r="U227" s="261">
        <f>VLOOKUP($A227,[1]Planilha!$A$18:$BK$553,59,FALSE)</f>
        <v>79.489999999999995</v>
      </c>
      <c r="V227" s="261">
        <f t="shared" si="180"/>
        <v>0</v>
      </c>
      <c r="W227" s="284">
        <f t="shared" si="185"/>
        <v>57.15</v>
      </c>
      <c r="X227" s="261">
        <f>VLOOKUP($A227,[1]Planilha!$A$18:$BK$553,50,FALSE)</f>
        <v>57.15</v>
      </c>
      <c r="Y227" s="261">
        <f t="shared" si="181"/>
        <v>0</v>
      </c>
      <c r="Z227" s="284">
        <f t="shared" si="186"/>
        <v>79.010000000000005</v>
      </c>
      <c r="AA227" s="261">
        <f>VLOOKUP($A227,[1]Planilha!$A$18:$BK$553,58,FALSE)</f>
        <v>79.010000000000005</v>
      </c>
      <c r="AB227" s="261">
        <f t="shared" si="182"/>
        <v>0</v>
      </c>
      <c r="AC227" s="284">
        <f t="shared" si="187"/>
        <v>53.9</v>
      </c>
      <c r="AD227" s="261">
        <f>VLOOKUP($A227,[1]Planilha!$A$18:$BK$553,49,FALSE)</f>
        <v>53.9</v>
      </c>
      <c r="AE227" s="261">
        <f t="shared" si="183"/>
        <v>0</v>
      </c>
      <c r="AF227" s="285">
        <f t="shared" si="188"/>
        <v>74.510000000000005</v>
      </c>
      <c r="AG227" s="261">
        <f>VLOOKUP($A227,[1]Planilha!$A$18:$BK$553,57,FALSE)</f>
        <v>74.510000000000005</v>
      </c>
      <c r="AH227" s="261">
        <f t="shared" si="184"/>
        <v>0</v>
      </c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</row>
    <row r="228" spans="1:46">
      <c r="A228" s="229">
        <v>7891721019777</v>
      </c>
      <c r="B228" s="175">
        <v>1008903620066</v>
      </c>
      <c r="C228" s="122" t="s">
        <v>601</v>
      </c>
      <c r="D228" s="218" t="s">
        <v>634</v>
      </c>
      <c r="E228" s="289">
        <f>K228</f>
        <v>115.69561137740985</v>
      </c>
      <c r="F228" s="261">
        <f>VLOOKUP($A228,[1]Planilha!$A$18:$BK$553,54,FALSE)</f>
        <v>117.12</v>
      </c>
      <c r="G228" s="261">
        <f t="shared" si="175"/>
        <v>-1.4243886225901576</v>
      </c>
      <c r="H228" s="289">
        <f t="shared" si="204"/>
        <v>159.94</v>
      </c>
      <c r="I228" s="261">
        <f>VLOOKUP($A228,[1]Planilha!$A$18:$BK$553,62,FALSE)</f>
        <v>163.94</v>
      </c>
      <c r="J228" s="261">
        <f t="shared" si="176"/>
        <v>-4</v>
      </c>
      <c r="K228" s="378">
        <f>VLOOKUP(A228,[2]Plan1!$H$2:$J$279,3,FALSE)</f>
        <v>115.69561137740985</v>
      </c>
      <c r="L228" s="261">
        <f>VLOOKUP($A228,[1]Planilha!$A$18:$BK$553,52,FALSE)</f>
        <v>115.7</v>
      </c>
      <c r="M228" s="261">
        <f t="shared" si="177"/>
        <v>-4.3886225901559328E-3</v>
      </c>
      <c r="N228" s="289">
        <f t="shared" si="205"/>
        <v>159.94</v>
      </c>
      <c r="O228" s="261">
        <f>VLOOKUP($A228,[1]Planilha!$A$18:$BK$553,60,FALSE)</f>
        <v>159.94</v>
      </c>
      <c r="P228" s="261">
        <f t="shared" si="178"/>
        <v>0</v>
      </c>
      <c r="Q228" s="289">
        <f t="shared" si="206"/>
        <v>114.99</v>
      </c>
      <c r="R228" s="261">
        <f>VLOOKUP($A228,[1]Planilha!$A$18:$BK$553,51,FALSE)</f>
        <v>114.99</v>
      </c>
      <c r="S228" s="261">
        <f t="shared" si="179"/>
        <v>0</v>
      </c>
      <c r="T228" s="289">
        <f t="shared" si="207"/>
        <v>158.97</v>
      </c>
      <c r="U228" s="261">
        <f>VLOOKUP($A228,[1]Planilha!$A$18:$BK$553,59,FALSE)</f>
        <v>158.97</v>
      </c>
      <c r="V228" s="261">
        <f t="shared" si="180"/>
        <v>0</v>
      </c>
      <c r="W228" s="289">
        <f t="shared" si="185"/>
        <v>114.3</v>
      </c>
      <c r="X228" s="261">
        <f>VLOOKUP($A228,[1]Planilha!$A$18:$BK$553,50,FALSE)</f>
        <v>114.3</v>
      </c>
      <c r="Y228" s="261">
        <f t="shared" si="181"/>
        <v>0</v>
      </c>
      <c r="Z228" s="289">
        <f t="shared" si="186"/>
        <v>158.01</v>
      </c>
      <c r="AA228" s="261">
        <f>VLOOKUP($A228,[1]Planilha!$A$18:$BK$553,58,FALSE)</f>
        <v>158.01</v>
      </c>
      <c r="AB228" s="261">
        <f t="shared" si="182"/>
        <v>0</v>
      </c>
      <c r="AC228" s="289">
        <f t="shared" si="187"/>
        <v>107.81</v>
      </c>
      <c r="AD228" s="261">
        <f>VLOOKUP($A228,[1]Planilha!$A$18:$BK$553,49,FALSE)</f>
        <v>107.81</v>
      </c>
      <c r="AE228" s="261">
        <f t="shared" si="183"/>
        <v>0</v>
      </c>
      <c r="AF228" s="290">
        <f t="shared" si="188"/>
        <v>149.04</v>
      </c>
      <c r="AG228" s="261">
        <f>VLOOKUP($A228,[1]Planilha!$A$18:$BK$553,57,FALSE)</f>
        <v>149.04</v>
      </c>
      <c r="AH228" s="261">
        <f t="shared" si="184"/>
        <v>0</v>
      </c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</row>
    <row r="229" spans="1:46" s="150" customFormat="1" ht="15">
      <c r="A229" s="684"/>
      <c r="B229" s="114" t="s">
        <v>728</v>
      </c>
      <c r="C229" s="114"/>
      <c r="D229" s="104"/>
      <c r="E229" s="305"/>
      <c r="F229" s="261" t="e">
        <f>VLOOKUP($A229,[1]Planilha!$A$18:$BK$553,54,FALSE)</f>
        <v>#N/A</v>
      </c>
      <c r="G229" s="261" t="e">
        <f t="shared" si="175"/>
        <v>#N/A</v>
      </c>
      <c r="H229" s="306"/>
      <c r="I229" s="261" t="e">
        <f>VLOOKUP($A229,[1]Planilha!$A$18:$BK$553,62,FALSE)</f>
        <v>#N/A</v>
      </c>
      <c r="J229" s="261" t="e">
        <f t="shared" si="176"/>
        <v>#N/A</v>
      </c>
      <c r="K229" s="378"/>
      <c r="L229" s="261" t="e">
        <f>VLOOKUP($A229,[1]Planilha!$A$18:$BK$553,52,FALSE)</f>
        <v>#N/A</v>
      </c>
      <c r="M229" s="261" t="e">
        <f t="shared" si="177"/>
        <v>#N/A</v>
      </c>
      <c r="N229" s="306"/>
      <c r="O229" s="261" t="e">
        <f>VLOOKUP($A229,[1]Planilha!$A$18:$BK$553,60,FALSE)</f>
        <v>#N/A</v>
      </c>
      <c r="P229" s="261" t="e">
        <f t="shared" si="178"/>
        <v>#N/A</v>
      </c>
      <c r="Q229" s="305"/>
      <c r="R229" s="261" t="e">
        <f>VLOOKUP($A229,[1]Planilha!$A$18:$BK$553,51,FALSE)</f>
        <v>#N/A</v>
      </c>
      <c r="S229" s="261" t="e">
        <f t="shared" si="179"/>
        <v>#N/A</v>
      </c>
      <c r="T229" s="306"/>
      <c r="U229" s="261" t="e">
        <f>VLOOKUP($A229,[1]Planilha!$A$18:$BK$553,59,FALSE)</f>
        <v>#N/A</v>
      </c>
      <c r="V229" s="261" t="e">
        <f t="shared" si="180"/>
        <v>#N/A</v>
      </c>
      <c r="W229" s="305"/>
      <c r="X229" s="261" t="e">
        <f>VLOOKUP($A229,[1]Planilha!$A$18:$BK$553,50,FALSE)</f>
        <v>#N/A</v>
      </c>
      <c r="Y229" s="261" t="e">
        <f t="shared" si="181"/>
        <v>#N/A</v>
      </c>
      <c r="Z229" s="306"/>
      <c r="AA229" s="261" t="e">
        <f>VLOOKUP($A229,[1]Planilha!$A$18:$BK$553,58,FALSE)</f>
        <v>#N/A</v>
      </c>
      <c r="AB229" s="261" t="e">
        <f t="shared" si="182"/>
        <v>#N/A</v>
      </c>
      <c r="AC229" s="305"/>
      <c r="AD229" s="261" t="e">
        <f>VLOOKUP($A229,[1]Planilha!$A$18:$BK$553,49,FALSE)</f>
        <v>#N/A</v>
      </c>
      <c r="AE229" s="261" t="e">
        <f t="shared" si="183"/>
        <v>#N/A</v>
      </c>
      <c r="AF229" s="307"/>
      <c r="AG229" s="261" t="e">
        <f>VLOOKUP($A229,[1]Planilha!$A$18:$BK$553,57,FALSE)</f>
        <v>#N/A</v>
      </c>
      <c r="AH229" s="261" t="e">
        <f t="shared" si="184"/>
        <v>#N/A</v>
      </c>
    </row>
    <row r="230" spans="1:46">
      <c r="A230" s="685">
        <v>7891721028113</v>
      </c>
      <c r="B230" s="175">
        <v>1008903830028</v>
      </c>
      <c r="C230" s="117">
        <v>3201760001</v>
      </c>
      <c r="D230" s="94" t="s">
        <v>729</v>
      </c>
      <c r="E230" s="282">
        <f>ROUND(K230*1.025,2)</f>
        <v>64.33</v>
      </c>
      <c r="F230" s="261">
        <f>VLOOKUP($A230,[1]Planilha!$A$18:$BK$553,54,FALSE)</f>
        <v>63.54</v>
      </c>
      <c r="G230" s="261">
        <f t="shared" si="175"/>
        <v>0.78999999999999915</v>
      </c>
      <c r="H230" s="282">
        <f>ROUND(E230/0.723358,2)</f>
        <v>88.93</v>
      </c>
      <c r="I230" s="261">
        <f>VLOOKUP($A230,[1]Planilha!$A$18:$BK$553,62,FALSE)</f>
        <v>88.93</v>
      </c>
      <c r="J230" s="261">
        <f t="shared" si="176"/>
        <v>0</v>
      </c>
      <c r="K230" s="378">
        <f>VLOOKUP(A230,[2]Plan1!$H$2:$J$279,3,FALSE)</f>
        <v>62.760993096890829</v>
      </c>
      <c r="L230" s="261">
        <f>VLOOKUP($A230,[1]Planilha!$A$18:$BK$553,52,FALSE)</f>
        <v>62.76</v>
      </c>
      <c r="M230" s="261">
        <f t="shared" si="177"/>
        <v>9.9309689083071362E-4</v>
      </c>
      <c r="N230" s="282">
        <f t="shared" ref="N230:N231" si="208">ROUND(K230/0.723358,2)</f>
        <v>86.76</v>
      </c>
      <c r="O230" s="261">
        <f>VLOOKUP($A230,[1]Planilha!$A$18:$BK$553,60,FALSE)</f>
        <v>86.76</v>
      </c>
      <c r="P230" s="261">
        <f t="shared" si="178"/>
        <v>0</v>
      </c>
      <c r="Q230" s="282">
        <f t="shared" ref="Q230:Q231" si="209">ROUND(K230*0.993939,2)</f>
        <v>62.38</v>
      </c>
      <c r="R230" s="261">
        <f>VLOOKUP($A230,[1]Planilha!$A$18:$BK$553,51,FALSE)</f>
        <v>62.38</v>
      </c>
      <c r="S230" s="261">
        <f t="shared" si="179"/>
        <v>0</v>
      </c>
      <c r="T230" s="282">
        <f t="shared" ref="T230:T231" si="210">ROUND(Q230/0.723358,2)</f>
        <v>86.24</v>
      </c>
      <c r="U230" s="261">
        <f>VLOOKUP($A230,[1]Planilha!$A$18:$BK$553,59,FALSE)</f>
        <v>86.24</v>
      </c>
      <c r="V230" s="261">
        <f t="shared" si="180"/>
        <v>0</v>
      </c>
      <c r="W230" s="282">
        <f t="shared" si="185"/>
        <v>62</v>
      </c>
      <c r="X230" s="261">
        <f>VLOOKUP($A230,[1]Planilha!$A$18:$BK$553,50,FALSE)</f>
        <v>62</v>
      </c>
      <c r="Y230" s="261">
        <f t="shared" si="181"/>
        <v>0</v>
      </c>
      <c r="Z230" s="282">
        <f t="shared" si="186"/>
        <v>85.71</v>
      </c>
      <c r="AA230" s="261">
        <f>VLOOKUP($A230,[1]Planilha!$A$18:$BK$553,58,FALSE)</f>
        <v>85.71</v>
      </c>
      <c r="AB230" s="261">
        <f t="shared" si="182"/>
        <v>0</v>
      </c>
      <c r="AC230" s="282">
        <f t="shared" si="187"/>
        <v>58.48</v>
      </c>
      <c r="AD230" s="261">
        <f>VLOOKUP($A230,[1]Planilha!$A$18:$BK$553,49,FALSE)</f>
        <v>58.48</v>
      </c>
      <c r="AE230" s="261">
        <f t="shared" si="183"/>
        <v>0</v>
      </c>
      <c r="AF230" s="283">
        <f t="shared" si="188"/>
        <v>80.849999999999994</v>
      </c>
      <c r="AG230" s="261">
        <f>VLOOKUP($A230,[1]Planilha!$A$18:$BK$553,57,FALSE)</f>
        <v>80.849999999999994</v>
      </c>
      <c r="AH230" s="261">
        <f t="shared" si="184"/>
        <v>0</v>
      </c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</row>
    <row r="231" spans="1:46">
      <c r="A231" s="229">
        <v>7891721028120</v>
      </c>
      <c r="B231" s="175">
        <v>1008903830044</v>
      </c>
      <c r="C231" s="122">
        <v>3201770002</v>
      </c>
      <c r="D231" s="94" t="s">
        <v>730</v>
      </c>
      <c r="E231" s="289">
        <f>ROUND(K231*1.025,2)</f>
        <v>98.64</v>
      </c>
      <c r="F231" s="261">
        <f>VLOOKUP($A231,[1]Planilha!$A$18:$BK$553,54,FALSE)</f>
        <v>97.42</v>
      </c>
      <c r="G231" s="261">
        <f t="shared" si="175"/>
        <v>1.2199999999999989</v>
      </c>
      <c r="H231" s="289">
        <f>ROUND(E231/0.723358,2)</f>
        <v>136.36000000000001</v>
      </c>
      <c r="I231" s="261">
        <f>VLOOKUP($A231,[1]Planilha!$A$18:$BK$553,62,FALSE)</f>
        <v>136.36000000000001</v>
      </c>
      <c r="J231" s="261">
        <f t="shared" si="176"/>
        <v>0</v>
      </c>
      <c r="K231" s="378">
        <f>VLOOKUP(A231,[2]Plan1!$H$2:$J$279,3,FALSE)</f>
        <v>96.231427572698919</v>
      </c>
      <c r="L231" s="261">
        <f>VLOOKUP($A231,[1]Planilha!$A$18:$BK$553,52,FALSE)</f>
        <v>96.23</v>
      </c>
      <c r="M231" s="261">
        <f t="shared" si="177"/>
        <v>1.4275726989154691E-3</v>
      </c>
      <c r="N231" s="289">
        <f t="shared" si="208"/>
        <v>133.03</v>
      </c>
      <c r="O231" s="261">
        <f>VLOOKUP($A231,[1]Planilha!$A$18:$BK$553,60,FALSE)</f>
        <v>133.03</v>
      </c>
      <c r="P231" s="261">
        <f t="shared" si="178"/>
        <v>0</v>
      </c>
      <c r="Q231" s="289">
        <f t="shared" si="209"/>
        <v>95.65</v>
      </c>
      <c r="R231" s="261">
        <f>VLOOKUP($A231,[1]Planilha!$A$18:$BK$553,51,FALSE)</f>
        <v>95.65</v>
      </c>
      <c r="S231" s="261">
        <f t="shared" si="179"/>
        <v>0</v>
      </c>
      <c r="T231" s="289">
        <f t="shared" si="210"/>
        <v>132.22999999999999</v>
      </c>
      <c r="U231" s="261">
        <f>VLOOKUP($A231,[1]Planilha!$A$18:$BK$553,59,FALSE)</f>
        <v>132.22999999999999</v>
      </c>
      <c r="V231" s="261">
        <f t="shared" si="180"/>
        <v>0</v>
      </c>
      <c r="W231" s="289">
        <f t="shared" si="185"/>
        <v>95.07</v>
      </c>
      <c r="X231" s="261">
        <f>VLOOKUP($A231,[1]Planilha!$A$18:$BK$553,50,FALSE)</f>
        <v>95.07</v>
      </c>
      <c r="Y231" s="261">
        <f t="shared" si="181"/>
        <v>0</v>
      </c>
      <c r="Z231" s="289">
        <f t="shared" si="186"/>
        <v>131.43</v>
      </c>
      <c r="AA231" s="261">
        <f>VLOOKUP($A231,[1]Planilha!$A$18:$BK$553,58,FALSE)</f>
        <v>131.43</v>
      </c>
      <c r="AB231" s="261">
        <f t="shared" si="182"/>
        <v>0</v>
      </c>
      <c r="AC231" s="289">
        <f t="shared" si="187"/>
        <v>89.67</v>
      </c>
      <c r="AD231" s="261">
        <f>VLOOKUP($A231,[1]Planilha!$A$18:$BK$553,49,FALSE)</f>
        <v>89.67</v>
      </c>
      <c r="AE231" s="261">
        <f t="shared" si="183"/>
        <v>0</v>
      </c>
      <c r="AF231" s="290">
        <f t="shared" si="188"/>
        <v>123.96</v>
      </c>
      <c r="AG231" s="261">
        <f>VLOOKUP($A231,[1]Planilha!$A$18:$BK$553,57,FALSE)</f>
        <v>123.96</v>
      </c>
      <c r="AH231" s="261">
        <f t="shared" si="184"/>
        <v>0</v>
      </c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</row>
    <row r="232" spans="1:46" s="150" customFormat="1" ht="15">
      <c r="A232" s="684"/>
      <c r="B232" s="114" t="s">
        <v>437</v>
      </c>
      <c r="C232" s="114"/>
      <c r="D232" s="104"/>
      <c r="E232" s="305"/>
      <c r="F232" s="261" t="e">
        <f>VLOOKUP($A232,[1]Planilha!$A$18:$BK$553,54,FALSE)</f>
        <v>#N/A</v>
      </c>
      <c r="G232" s="261" t="e">
        <f t="shared" si="175"/>
        <v>#N/A</v>
      </c>
      <c r="H232" s="306"/>
      <c r="I232" s="261" t="e">
        <f>VLOOKUP($A232,[1]Planilha!$A$18:$BK$553,62,FALSE)</f>
        <v>#N/A</v>
      </c>
      <c r="J232" s="261" t="e">
        <f t="shared" si="176"/>
        <v>#N/A</v>
      </c>
      <c r="K232" s="378"/>
      <c r="L232" s="261" t="e">
        <f>VLOOKUP($A232,[1]Planilha!$A$18:$BK$553,52,FALSE)</f>
        <v>#N/A</v>
      </c>
      <c r="M232" s="261" t="e">
        <f t="shared" si="177"/>
        <v>#N/A</v>
      </c>
      <c r="N232" s="306"/>
      <c r="O232" s="261" t="e">
        <f>VLOOKUP($A232,[1]Planilha!$A$18:$BK$553,60,FALSE)</f>
        <v>#N/A</v>
      </c>
      <c r="P232" s="261" t="e">
        <f t="shared" si="178"/>
        <v>#N/A</v>
      </c>
      <c r="Q232" s="305"/>
      <c r="R232" s="261" t="e">
        <f>VLOOKUP($A232,[1]Planilha!$A$18:$BK$553,51,FALSE)</f>
        <v>#N/A</v>
      </c>
      <c r="S232" s="261" t="e">
        <f t="shared" si="179"/>
        <v>#N/A</v>
      </c>
      <c r="T232" s="306"/>
      <c r="U232" s="261" t="e">
        <f>VLOOKUP($A232,[1]Planilha!$A$18:$BK$553,59,FALSE)</f>
        <v>#N/A</v>
      </c>
      <c r="V232" s="261" t="e">
        <f t="shared" si="180"/>
        <v>#N/A</v>
      </c>
      <c r="W232" s="305"/>
      <c r="X232" s="261" t="e">
        <f>VLOOKUP($A232,[1]Planilha!$A$18:$BK$553,50,FALSE)</f>
        <v>#N/A</v>
      </c>
      <c r="Y232" s="261" t="e">
        <f t="shared" si="181"/>
        <v>#N/A</v>
      </c>
      <c r="Z232" s="306"/>
      <c r="AA232" s="261" t="e">
        <f>VLOOKUP($A232,[1]Planilha!$A$18:$BK$553,58,FALSE)</f>
        <v>#N/A</v>
      </c>
      <c r="AB232" s="261" t="e">
        <f t="shared" si="182"/>
        <v>#N/A</v>
      </c>
      <c r="AC232" s="305"/>
      <c r="AD232" s="261" t="e">
        <f>VLOOKUP($A232,[1]Planilha!$A$18:$BK$553,49,FALSE)</f>
        <v>#N/A</v>
      </c>
      <c r="AE232" s="261" t="e">
        <f t="shared" si="183"/>
        <v>#N/A</v>
      </c>
      <c r="AF232" s="307"/>
      <c r="AG232" s="261" t="e">
        <f>VLOOKUP($A232,[1]Planilha!$A$18:$BK$553,57,FALSE)</f>
        <v>#N/A</v>
      </c>
      <c r="AH232" s="261" t="e">
        <f t="shared" si="184"/>
        <v>#N/A</v>
      </c>
    </row>
    <row r="233" spans="1:46">
      <c r="A233" s="230">
        <v>7891721201219</v>
      </c>
      <c r="B233" s="175">
        <v>1008903490022</v>
      </c>
      <c r="C233" s="123" t="s">
        <v>438</v>
      </c>
      <c r="D233" s="217" t="s">
        <v>619</v>
      </c>
      <c r="E233" s="282">
        <f>K233</f>
        <v>37.22079927779221</v>
      </c>
      <c r="F233" s="261">
        <f>VLOOKUP($A233,[1]Planilha!$A$18:$BK$553,54,FALSE)</f>
        <v>37.68</v>
      </c>
      <c r="G233" s="261">
        <f t="shared" si="175"/>
        <v>-0.45920072220778962</v>
      </c>
      <c r="H233" s="282">
        <f t="shared" ref="H233:H235" si="211">N233</f>
        <v>51.45</v>
      </c>
      <c r="I233" s="261">
        <f>VLOOKUP($A233,[1]Planilha!$A$18:$BK$553,62,FALSE)</f>
        <v>52.74</v>
      </c>
      <c r="J233" s="261">
        <f t="shared" si="176"/>
        <v>-1.2899999999999991</v>
      </c>
      <c r="K233" s="378">
        <f>VLOOKUP(A233,[2]Plan1!$H$2:$J$279,3,FALSE)</f>
        <v>37.22079927779221</v>
      </c>
      <c r="L233" s="261">
        <f>VLOOKUP($A233,[1]Planilha!$A$18:$BK$553,52,FALSE)</f>
        <v>37.22</v>
      </c>
      <c r="M233" s="261">
        <f t="shared" si="177"/>
        <v>7.9927779221122819E-4</v>
      </c>
      <c r="N233" s="492">
        <v>51.45</v>
      </c>
      <c r="O233" s="261">
        <f>VLOOKUP($A233,[1]Planilha!$A$18:$BK$553,60,FALSE)</f>
        <v>51.45</v>
      </c>
      <c r="P233" s="261">
        <f t="shared" si="178"/>
        <v>0</v>
      </c>
      <c r="Q233" s="492">
        <v>36.99</v>
      </c>
      <c r="R233" s="261">
        <f>VLOOKUP($A233,[1]Planilha!$A$18:$BK$553,51,FALSE)</f>
        <v>36.99</v>
      </c>
      <c r="S233" s="261">
        <f t="shared" si="179"/>
        <v>0</v>
      </c>
      <c r="T233" s="282">
        <f t="shared" ref="T233:T235" si="212">ROUND(Q233/0.723358,2)</f>
        <v>51.14</v>
      </c>
      <c r="U233" s="261">
        <f>VLOOKUP($A233,[1]Planilha!$A$18:$BK$553,59,FALSE)</f>
        <v>51.14</v>
      </c>
      <c r="V233" s="261">
        <f t="shared" si="180"/>
        <v>0</v>
      </c>
      <c r="W233" s="282">
        <f t="shared" ref="W233:W235" si="213">ROUND(K233*0.987952,2)</f>
        <v>36.770000000000003</v>
      </c>
      <c r="X233" s="261">
        <f>VLOOKUP($A233,[1]Planilha!$A$18:$BK$553,50,FALSE)</f>
        <v>36.770000000000003</v>
      </c>
      <c r="Y233" s="261">
        <f t="shared" si="181"/>
        <v>0</v>
      </c>
      <c r="Z233" s="282">
        <f t="shared" ref="Z233:Z235" si="214">ROUND(W233/0.723358,2)</f>
        <v>50.83</v>
      </c>
      <c r="AA233" s="261">
        <f>VLOOKUP($A233,[1]Planilha!$A$18:$BK$553,58,FALSE)</f>
        <v>50.83</v>
      </c>
      <c r="AB233" s="261">
        <f t="shared" si="182"/>
        <v>0</v>
      </c>
      <c r="AC233" s="282">
        <f t="shared" ref="AC233:AC235" si="215">ROUND(K233*0.931818,2)</f>
        <v>34.68</v>
      </c>
      <c r="AD233" s="261">
        <f>VLOOKUP($A233,[1]Planilha!$A$18:$BK$553,49,FALSE)</f>
        <v>34.68</v>
      </c>
      <c r="AE233" s="261">
        <f t="shared" si="183"/>
        <v>0</v>
      </c>
      <c r="AF233" s="283">
        <f t="shared" ref="AF233:AF235" si="216">ROUND(AC233/0.723358,2)</f>
        <v>47.94</v>
      </c>
      <c r="AG233" s="261">
        <f>VLOOKUP($A233,[1]Planilha!$A$18:$BK$553,57,FALSE)</f>
        <v>47.94</v>
      </c>
      <c r="AH233" s="261">
        <f t="shared" si="184"/>
        <v>0</v>
      </c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</row>
    <row r="234" spans="1:46">
      <c r="A234" s="685">
        <v>7891721201233</v>
      </c>
      <c r="B234" s="348">
        <v>1008903490057</v>
      </c>
      <c r="C234" s="351" t="s">
        <v>439</v>
      </c>
      <c r="D234" s="350" t="s">
        <v>620</v>
      </c>
      <c r="E234" s="284">
        <f>K234</f>
        <v>47.047174094164035</v>
      </c>
      <c r="F234" s="261">
        <f>VLOOKUP($A234,[1]Planilha!$A$18:$BK$553,54,FALSE)</f>
        <v>47.63</v>
      </c>
      <c r="G234" s="261">
        <f t="shared" si="175"/>
        <v>-0.58282590583596772</v>
      </c>
      <c r="H234" s="284">
        <f t="shared" si="211"/>
        <v>65.040000000000006</v>
      </c>
      <c r="I234" s="261">
        <f>VLOOKUP($A234,[1]Planilha!$A$18:$BK$553,62,FALSE)</f>
        <v>66.66</v>
      </c>
      <c r="J234" s="261">
        <f t="shared" si="176"/>
        <v>-1.6199999999999903</v>
      </c>
      <c r="K234" s="378">
        <f>VLOOKUP(A234,[2]Plan1!$H$2:$J$279,3,FALSE)</f>
        <v>47.047174094164035</v>
      </c>
      <c r="L234" s="261">
        <f>VLOOKUP($A234,[1]Planilha!$A$18:$BK$553,52,FALSE)</f>
        <v>47.05</v>
      </c>
      <c r="M234" s="261">
        <f t="shared" si="177"/>
        <v>-2.8259058359623168E-3</v>
      </c>
      <c r="N234" s="284">
        <f t="shared" ref="N234:N235" si="217">ROUND(K234/0.723358,2)</f>
        <v>65.040000000000006</v>
      </c>
      <c r="O234" s="261">
        <f>VLOOKUP($A234,[1]Planilha!$A$18:$BK$553,60,FALSE)</f>
        <v>65.040000000000006</v>
      </c>
      <c r="P234" s="261">
        <f t="shared" si="178"/>
        <v>0</v>
      </c>
      <c r="Q234" s="284">
        <f t="shared" ref="Q234:Q235" si="218">ROUND(K234*0.993939,2)</f>
        <v>46.76</v>
      </c>
      <c r="R234" s="261">
        <f>VLOOKUP($A234,[1]Planilha!$A$18:$BK$553,51,FALSE)</f>
        <v>46.76</v>
      </c>
      <c r="S234" s="261">
        <f t="shared" si="179"/>
        <v>0</v>
      </c>
      <c r="T234" s="284">
        <f t="shared" si="212"/>
        <v>64.64</v>
      </c>
      <c r="U234" s="261">
        <f>VLOOKUP($A234,[1]Planilha!$A$18:$BK$553,59,FALSE)</f>
        <v>64.64</v>
      </c>
      <c r="V234" s="261">
        <f t="shared" si="180"/>
        <v>0</v>
      </c>
      <c r="W234" s="284">
        <f t="shared" si="213"/>
        <v>46.48</v>
      </c>
      <c r="X234" s="261">
        <f>VLOOKUP($A234,[1]Planilha!$A$18:$BK$553,50,FALSE)</f>
        <v>46.48</v>
      </c>
      <c r="Y234" s="261">
        <f t="shared" si="181"/>
        <v>0</v>
      </c>
      <c r="Z234" s="284">
        <f t="shared" si="214"/>
        <v>64.260000000000005</v>
      </c>
      <c r="AA234" s="261">
        <f>VLOOKUP($A234,[1]Planilha!$A$18:$BK$553,58,FALSE)</f>
        <v>64.260000000000005</v>
      </c>
      <c r="AB234" s="261">
        <f t="shared" si="182"/>
        <v>0</v>
      </c>
      <c r="AC234" s="284">
        <f t="shared" si="215"/>
        <v>43.84</v>
      </c>
      <c r="AD234" s="261">
        <f>VLOOKUP($A234,[1]Planilha!$A$18:$BK$553,49,FALSE)</f>
        <v>43.84</v>
      </c>
      <c r="AE234" s="261">
        <f t="shared" si="183"/>
        <v>0</v>
      </c>
      <c r="AF234" s="285">
        <f t="shared" si="216"/>
        <v>60.61</v>
      </c>
      <c r="AG234" s="261">
        <f>VLOOKUP($A234,[1]Planilha!$A$18:$BK$553,57,FALSE)</f>
        <v>60.61</v>
      </c>
      <c r="AH234" s="261">
        <f t="shared" si="184"/>
        <v>0</v>
      </c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</row>
    <row r="235" spans="1:46" ht="13.5" thickBot="1">
      <c r="A235" s="229">
        <v>7891721201257</v>
      </c>
      <c r="B235" s="175">
        <v>1008903490081</v>
      </c>
      <c r="C235" s="128" t="s">
        <v>528</v>
      </c>
      <c r="D235" s="218" t="s">
        <v>621</v>
      </c>
      <c r="E235" s="289">
        <f>K235</f>
        <v>99.688467753298809</v>
      </c>
      <c r="F235" s="261">
        <f>VLOOKUP($A235,[1]Planilha!$A$18:$BK$553,54,FALSE)</f>
        <v>100.92</v>
      </c>
      <c r="G235" s="261">
        <f t="shared" si="175"/>
        <v>-1.2315322467011924</v>
      </c>
      <c r="H235" s="289">
        <f t="shared" si="211"/>
        <v>137.81</v>
      </c>
      <c r="I235" s="261">
        <f>VLOOKUP($A235,[1]Planilha!$A$18:$BK$553,62,FALSE)</f>
        <v>141.26</v>
      </c>
      <c r="J235" s="261">
        <f t="shared" si="176"/>
        <v>-3.4499999999999886</v>
      </c>
      <c r="K235" s="378">
        <f>VLOOKUP(A235,[2]Plan1!$H$2:$J$279,3,FALSE)</f>
        <v>99.688467753298809</v>
      </c>
      <c r="L235" s="261">
        <f>VLOOKUP($A235,[1]Planilha!$A$18:$BK$553,52,FALSE)</f>
        <v>99.69</v>
      </c>
      <c r="M235" s="261">
        <f t="shared" si="177"/>
        <v>-1.5322467011884555E-3</v>
      </c>
      <c r="N235" s="289">
        <f t="shared" si="217"/>
        <v>137.81</v>
      </c>
      <c r="O235" s="261">
        <f>VLOOKUP($A235,[1]Planilha!$A$18:$BK$553,60,FALSE)</f>
        <v>137.81</v>
      </c>
      <c r="P235" s="261">
        <f t="shared" si="178"/>
        <v>0</v>
      </c>
      <c r="Q235" s="289">
        <f t="shared" si="218"/>
        <v>99.08</v>
      </c>
      <c r="R235" s="261">
        <f>VLOOKUP($A235,[1]Planilha!$A$18:$BK$553,51,FALSE)</f>
        <v>99.08</v>
      </c>
      <c r="S235" s="261">
        <f t="shared" si="179"/>
        <v>0</v>
      </c>
      <c r="T235" s="289">
        <f t="shared" si="212"/>
        <v>136.97</v>
      </c>
      <c r="U235" s="261">
        <f>VLOOKUP($A235,[1]Planilha!$A$18:$BK$553,59,FALSE)</f>
        <v>136.97</v>
      </c>
      <c r="V235" s="261">
        <f t="shared" si="180"/>
        <v>0</v>
      </c>
      <c r="W235" s="289">
        <f t="shared" si="213"/>
        <v>98.49</v>
      </c>
      <c r="X235" s="261">
        <f>VLOOKUP($A235,[1]Planilha!$A$18:$BK$553,50,FALSE)</f>
        <v>98.49</v>
      </c>
      <c r="Y235" s="261">
        <f t="shared" si="181"/>
        <v>0</v>
      </c>
      <c r="Z235" s="289">
        <f t="shared" si="214"/>
        <v>136.16</v>
      </c>
      <c r="AA235" s="261">
        <f>VLOOKUP($A235,[1]Planilha!$A$18:$BK$553,58,FALSE)</f>
        <v>136.16</v>
      </c>
      <c r="AB235" s="261">
        <f t="shared" si="182"/>
        <v>0</v>
      </c>
      <c r="AC235" s="289">
        <f t="shared" si="215"/>
        <v>92.89</v>
      </c>
      <c r="AD235" s="261">
        <f>VLOOKUP($A235,[1]Planilha!$A$18:$BK$553,49,FALSE)</f>
        <v>92.89</v>
      </c>
      <c r="AE235" s="261">
        <f t="shared" si="183"/>
        <v>0</v>
      </c>
      <c r="AF235" s="290">
        <f t="shared" si="216"/>
        <v>128.41</v>
      </c>
      <c r="AG235" s="261">
        <f>VLOOKUP($A235,[1]Planilha!$A$18:$BK$553,57,FALSE)</f>
        <v>128.41</v>
      </c>
      <c r="AH235" s="261">
        <f t="shared" si="184"/>
        <v>0</v>
      </c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</row>
    <row r="236" spans="1:46" ht="15">
      <c r="A236" s="691"/>
      <c r="B236" s="342" t="s">
        <v>719</v>
      </c>
      <c r="C236" s="343"/>
      <c r="D236" s="344"/>
      <c r="E236" s="345"/>
      <c r="F236" s="261" t="e">
        <f>VLOOKUP($A236,[1]Planilha!$A$18:$BK$553,54,FALSE)</f>
        <v>#N/A</v>
      </c>
      <c r="G236" s="261" t="e">
        <f t="shared" si="175"/>
        <v>#N/A</v>
      </c>
      <c r="H236" s="346"/>
      <c r="I236" s="261" t="e">
        <f>VLOOKUP($A236,[1]Planilha!$A$18:$BK$553,62,FALSE)</f>
        <v>#N/A</v>
      </c>
      <c r="J236" s="261" t="e">
        <f t="shared" si="176"/>
        <v>#N/A</v>
      </c>
      <c r="K236" s="378"/>
      <c r="L236" s="261" t="e">
        <f>VLOOKUP($A236,[1]Planilha!$A$18:$BK$553,52,FALSE)</f>
        <v>#N/A</v>
      </c>
      <c r="M236" s="261" t="e">
        <f t="shared" si="177"/>
        <v>#N/A</v>
      </c>
      <c r="N236" s="346"/>
      <c r="O236" s="261" t="e">
        <f>VLOOKUP($A236,[1]Planilha!$A$18:$BK$553,60,FALSE)</f>
        <v>#N/A</v>
      </c>
      <c r="P236" s="261" t="e">
        <f t="shared" si="178"/>
        <v>#N/A</v>
      </c>
      <c r="Q236" s="345"/>
      <c r="R236" s="261" t="e">
        <f>VLOOKUP($A236,[1]Planilha!$A$18:$BK$553,51,FALSE)</f>
        <v>#N/A</v>
      </c>
      <c r="S236" s="261" t="e">
        <f t="shared" si="179"/>
        <v>#N/A</v>
      </c>
      <c r="T236" s="346"/>
      <c r="U236" s="261" t="e">
        <f>VLOOKUP($A236,[1]Planilha!$A$18:$BK$553,59,FALSE)</f>
        <v>#N/A</v>
      </c>
      <c r="V236" s="261" t="e">
        <f t="shared" si="180"/>
        <v>#N/A</v>
      </c>
      <c r="W236" s="345"/>
      <c r="X236" s="261" t="e">
        <f>VLOOKUP($A236,[1]Planilha!$A$18:$BK$553,50,FALSE)</f>
        <v>#N/A</v>
      </c>
      <c r="Y236" s="261" t="e">
        <f t="shared" si="181"/>
        <v>#N/A</v>
      </c>
      <c r="Z236" s="346"/>
      <c r="AA236" s="261" t="e">
        <f>VLOOKUP($A236,[1]Planilha!$A$18:$BK$553,58,FALSE)</f>
        <v>#N/A</v>
      </c>
      <c r="AB236" s="261" t="e">
        <f t="shared" si="182"/>
        <v>#N/A</v>
      </c>
      <c r="AC236" s="345"/>
      <c r="AD236" s="261" t="e">
        <f>VLOOKUP($A236,[1]Planilha!$A$18:$BK$553,49,FALSE)</f>
        <v>#N/A</v>
      </c>
      <c r="AE236" s="261" t="e">
        <f t="shared" si="183"/>
        <v>#N/A</v>
      </c>
      <c r="AF236" s="347"/>
      <c r="AG236" s="261" t="e">
        <f>VLOOKUP($A236,[1]Planilha!$A$18:$BK$553,57,FALSE)</f>
        <v>#N/A</v>
      </c>
      <c r="AH236" s="261" t="e">
        <f t="shared" si="184"/>
        <v>#N/A</v>
      </c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</row>
    <row r="237" spans="1:46">
      <c r="A237" s="692">
        <v>7891721028441</v>
      </c>
      <c r="B237" s="348">
        <v>1008903850029</v>
      </c>
      <c r="C237" s="349">
        <v>3220830001</v>
      </c>
      <c r="D237" s="350" t="s">
        <v>720</v>
      </c>
      <c r="E237" s="355">
        <f>K237</f>
        <v>10.716824559859678</v>
      </c>
      <c r="F237" s="261">
        <f>VLOOKUP($A237,[1]Planilha!$A$18:$BK$553,54,FALSE)</f>
        <v>10.85</v>
      </c>
      <c r="G237" s="261">
        <f t="shared" si="175"/>
        <v>-0.13317544014032201</v>
      </c>
      <c r="H237" s="355">
        <f t="shared" ref="H237:H239" si="219">N237</f>
        <v>14.81</v>
      </c>
      <c r="I237" s="261">
        <f>VLOOKUP($A237,[1]Planilha!$A$18:$BK$553,62,FALSE)</f>
        <v>15.18</v>
      </c>
      <c r="J237" s="261">
        <f t="shared" si="176"/>
        <v>-0.36999999999999922</v>
      </c>
      <c r="K237" s="378">
        <f>VLOOKUP(A237,[2]Plan1!$H$2:$J$279,3,FALSE)</f>
        <v>10.716824559859678</v>
      </c>
      <c r="L237" s="261">
        <f>VLOOKUP($A237,[1]Planilha!$A$18:$BK$553,52,FALSE)</f>
        <v>10.72</v>
      </c>
      <c r="M237" s="261">
        <f t="shared" si="177"/>
        <v>-3.1754401403230048E-3</v>
      </c>
      <c r="N237" s="492">
        <v>14.81</v>
      </c>
      <c r="O237" s="261">
        <f>VLOOKUP($A237,[1]Planilha!$A$18:$BK$553,60,FALSE)</f>
        <v>14.81</v>
      </c>
      <c r="P237" s="261">
        <f t="shared" si="178"/>
        <v>0</v>
      </c>
      <c r="Q237" s="355">
        <f t="shared" ref="Q237:Q240" si="220">ROUND(K237*0.993939,2)</f>
        <v>10.65</v>
      </c>
      <c r="R237" s="261">
        <f>VLOOKUP($A237,[1]Planilha!$A$18:$BK$553,51,FALSE)</f>
        <v>10.65</v>
      </c>
      <c r="S237" s="261">
        <f t="shared" si="179"/>
        <v>0</v>
      </c>
      <c r="T237" s="355">
        <f t="shared" ref="T237:T240" si="221">ROUND(Q237/0.723358,2)</f>
        <v>14.72</v>
      </c>
      <c r="U237" s="261">
        <f>VLOOKUP($A237,[1]Planilha!$A$18:$BK$553,59,FALSE)</f>
        <v>14.72</v>
      </c>
      <c r="V237" s="261">
        <f t="shared" si="180"/>
        <v>0</v>
      </c>
      <c r="W237" s="355">
        <f t="shared" si="185"/>
        <v>10.59</v>
      </c>
      <c r="X237" s="261">
        <f>VLOOKUP($A237,[1]Planilha!$A$18:$BK$553,50,FALSE)</f>
        <v>10.59</v>
      </c>
      <c r="Y237" s="261">
        <f t="shared" si="181"/>
        <v>0</v>
      </c>
      <c r="Z237" s="355">
        <f t="shared" si="186"/>
        <v>14.64</v>
      </c>
      <c r="AA237" s="261">
        <f>VLOOKUP($A237,[1]Planilha!$A$18:$BK$553,58,FALSE)</f>
        <v>14.64</v>
      </c>
      <c r="AB237" s="261">
        <f t="shared" si="182"/>
        <v>0</v>
      </c>
      <c r="AC237" s="355">
        <f t="shared" si="187"/>
        <v>9.99</v>
      </c>
      <c r="AD237" s="261">
        <f>VLOOKUP($A237,[1]Planilha!$A$18:$BK$553,49,FALSE)</f>
        <v>9.99</v>
      </c>
      <c r="AE237" s="261">
        <f t="shared" si="183"/>
        <v>0</v>
      </c>
      <c r="AF237" s="356">
        <f t="shared" si="188"/>
        <v>13.81</v>
      </c>
      <c r="AG237" s="261">
        <f>VLOOKUP($A237,[1]Planilha!$A$18:$BK$553,57,FALSE)</f>
        <v>13.81</v>
      </c>
      <c r="AH237" s="261">
        <f t="shared" si="184"/>
        <v>0</v>
      </c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</row>
    <row r="238" spans="1:46">
      <c r="A238" s="685">
        <v>7891721028458</v>
      </c>
      <c r="B238" s="348">
        <v>1008903850053</v>
      </c>
      <c r="C238" s="351">
        <v>3220900001</v>
      </c>
      <c r="D238" s="350" t="s">
        <v>721</v>
      </c>
      <c r="E238" s="357">
        <f>K238</f>
        <v>21.025089825648458</v>
      </c>
      <c r="F238" s="261">
        <f>VLOOKUP($A238,[1]Planilha!$A$18:$BK$553,54,FALSE)</f>
        <v>21.28</v>
      </c>
      <c r="G238" s="261">
        <f t="shared" si="175"/>
        <v>-0.25491017435154362</v>
      </c>
      <c r="H238" s="357">
        <f t="shared" si="219"/>
        <v>29.07</v>
      </c>
      <c r="I238" s="261">
        <f>VLOOKUP($A238,[1]Planilha!$A$18:$BK$553,62,FALSE)</f>
        <v>29.79</v>
      </c>
      <c r="J238" s="261">
        <f t="shared" si="176"/>
        <v>-0.71999999999999886</v>
      </c>
      <c r="K238" s="378">
        <f>VLOOKUP(A238,[2]Plan1!$H$2:$J$279,3,FALSE)</f>
        <v>21.025089825648458</v>
      </c>
      <c r="L238" s="261">
        <f>VLOOKUP($A238,[1]Planilha!$A$18:$BK$553,52,FALSE)</f>
        <v>21.03</v>
      </c>
      <c r="M238" s="261">
        <f t="shared" si="177"/>
        <v>-4.9101743515436169E-3</v>
      </c>
      <c r="N238" s="357">
        <f t="shared" ref="N238:N239" si="222">ROUND(K238/0.723358,2)</f>
        <v>29.07</v>
      </c>
      <c r="O238" s="261">
        <f>VLOOKUP($A238,[1]Planilha!$A$18:$BK$553,60,FALSE)</f>
        <v>29.07</v>
      </c>
      <c r="P238" s="261">
        <f t="shared" si="178"/>
        <v>0</v>
      </c>
      <c r="Q238" s="357">
        <f t="shared" si="220"/>
        <v>20.9</v>
      </c>
      <c r="R238" s="261">
        <f>VLOOKUP($A238,[1]Planilha!$A$18:$BK$553,51,FALSE)</f>
        <v>20.9</v>
      </c>
      <c r="S238" s="261">
        <f t="shared" si="179"/>
        <v>0</v>
      </c>
      <c r="T238" s="357">
        <f t="shared" si="221"/>
        <v>28.89</v>
      </c>
      <c r="U238" s="261">
        <f>VLOOKUP($A238,[1]Planilha!$A$18:$BK$553,59,FALSE)</f>
        <v>28.89</v>
      </c>
      <c r="V238" s="261">
        <f t="shared" si="180"/>
        <v>0</v>
      </c>
      <c r="W238" s="357">
        <f t="shared" si="185"/>
        <v>20.77</v>
      </c>
      <c r="X238" s="261">
        <f>VLOOKUP($A238,[1]Planilha!$A$18:$BK$553,50,FALSE)</f>
        <v>20.77</v>
      </c>
      <c r="Y238" s="261">
        <f t="shared" si="181"/>
        <v>0</v>
      </c>
      <c r="Z238" s="357">
        <f t="shared" si="186"/>
        <v>28.71</v>
      </c>
      <c r="AA238" s="261">
        <f>VLOOKUP($A238,[1]Planilha!$A$18:$BK$553,58,FALSE)</f>
        <v>28.71</v>
      </c>
      <c r="AB238" s="261">
        <f t="shared" si="182"/>
        <v>0</v>
      </c>
      <c r="AC238" s="357">
        <f t="shared" si="187"/>
        <v>19.59</v>
      </c>
      <c r="AD238" s="261">
        <f>VLOOKUP($A238,[1]Planilha!$A$18:$BK$553,49,FALSE)</f>
        <v>19.59</v>
      </c>
      <c r="AE238" s="261">
        <f t="shared" si="183"/>
        <v>0</v>
      </c>
      <c r="AF238" s="358">
        <f t="shared" si="188"/>
        <v>27.08</v>
      </c>
      <c r="AG238" s="261">
        <f>VLOOKUP($A238,[1]Planilha!$A$18:$BK$553,57,FALSE)</f>
        <v>27.08</v>
      </c>
      <c r="AH238" s="261">
        <f t="shared" si="184"/>
        <v>0</v>
      </c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</row>
    <row r="239" spans="1:46">
      <c r="A239" s="685">
        <v>7891721028472</v>
      </c>
      <c r="B239" s="348">
        <v>1008903850071</v>
      </c>
      <c r="C239" s="351">
        <v>3220910001</v>
      </c>
      <c r="D239" s="350" t="s">
        <v>618</v>
      </c>
      <c r="E239" s="357">
        <f>K239</f>
        <v>40.814025889749075</v>
      </c>
      <c r="F239" s="261">
        <f>VLOOKUP($A239,[1]Planilha!$A$18:$BK$553,54,FALSE)</f>
        <v>41.32</v>
      </c>
      <c r="G239" s="261">
        <f t="shared" si="175"/>
        <v>-0.50597411025092498</v>
      </c>
      <c r="H239" s="357">
        <f t="shared" si="219"/>
        <v>56.42</v>
      </c>
      <c r="I239" s="261">
        <f>VLOOKUP($A239,[1]Planilha!$A$18:$BK$553,62,FALSE)</f>
        <v>57.83</v>
      </c>
      <c r="J239" s="261">
        <f t="shared" si="176"/>
        <v>-1.4099999999999966</v>
      </c>
      <c r="K239" s="378">
        <f>VLOOKUP(A239,[2]Plan1!$H$2:$J$279,3,FALSE)</f>
        <v>40.814025889749075</v>
      </c>
      <c r="L239" s="261">
        <f>VLOOKUP($A239,[1]Planilha!$A$18:$BK$553,52,FALSE)</f>
        <v>40.81</v>
      </c>
      <c r="M239" s="261">
        <f t="shared" si="177"/>
        <v>4.0258897490730305E-3</v>
      </c>
      <c r="N239" s="357">
        <f t="shared" si="222"/>
        <v>56.42</v>
      </c>
      <c r="O239" s="261">
        <f>VLOOKUP($A239,[1]Planilha!$A$18:$BK$553,60,FALSE)</f>
        <v>56.42</v>
      </c>
      <c r="P239" s="261">
        <f t="shared" si="178"/>
        <v>0</v>
      </c>
      <c r="Q239" s="357">
        <f t="shared" si="220"/>
        <v>40.57</v>
      </c>
      <c r="R239" s="261">
        <f>VLOOKUP($A239,[1]Planilha!$A$18:$BK$553,51,FALSE)</f>
        <v>40.57</v>
      </c>
      <c r="S239" s="261">
        <f t="shared" si="179"/>
        <v>0</v>
      </c>
      <c r="T239" s="357">
        <f t="shared" si="221"/>
        <v>56.09</v>
      </c>
      <c r="U239" s="261">
        <f>VLOOKUP($A239,[1]Planilha!$A$18:$BK$553,59,FALSE)</f>
        <v>56.09</v>
      </c>
      <c r="V239" s="261">
        <f t="shared" si="180"/>
        <v>0</v>
      </c>
      <c r="W239" s="357">
        <f t="shared" si="185"/>
        <v>40.32</v>
      </c>
      <c r="X239" s="261">
        <f>VLOOKUP($A239,[1]Planilha!$A$18:$BK$553,50,FALSE)</f>
        <v>40.32</v>
      </c>
      <c r="Y239" s="261">
        <f t="shared" si="181"/>
        <v>0</v>
      </c>
      <c r="Z239" s="357">
        <f t="shared" si="186"/>
        <v>55.74</v>
      </c>
      <c r="AA239" s="261">
        <f>VLOOKUP($A239,[1]Planilha!$A$18:$BK$553,58,FALSE)</f>
        <v>55.74</v>
      </c>
      <c r="AB239" s="261">
        <f t="shared" si="182"/>
        <v>0</v>
      </c>
      <c r="AC239" s="357">
        <f t="shared" si="187"/>
        <v>38.03</v>
      </c>
      <c r="AD239" s="261">
        <f>VLOOKUP($A239,[1]Planilha!$A$18:$BK$553,49,FALSE)</f>
        <v>38.03</v>
      </c>
      <c r="AE239" s="261">
        <f t="shared" si="183"/>
        <v>0</v>
      </c>
      <c r="AF239" s="358">
        <f t="shared" si="188"/>
        <v>52.57</v>
      </c>
      <c r="AG239" s="261">
        <f>VLOOKUP($A239,[1]Planilha!$A$18:$BK$553,57,FALSE)</f>
        <v>52.57</v>
      </c>
      <c r="AH239" s="261">
        <f t="shared" si="184"/>
        <v>0</v>
      </c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</row>
    <row r="240" spans="1:46">
      <c r="A240" s="688">
        <v>7891721028496</v>
      </c>
      <c r="B240" s="352">
        <v>1008903850096</v>
      </c>
      <c r="C240" s="353">
        <v>3220920001</v>
      </c>
      <c r="D240" s="354" t="s">
        <v>534</v>
      </c>
      <c r="E240" s="359">
        <f>ROUND(K240*1.025,2)</f>
        <v>50.18</v>
      </c>
      <c r="F240" s="261">
        <f>VLOOKUP($A240,[1]Planilha!$A$18:$BK$553,54,FALSE)</f>
        <v>49.56</v>
      </c>
      <c r="G240" s="261">
        <f t="shared" si="175"/>
        <v>0.61999999999999744</v>
      </c>
      <c r="H240" s="359">
        <f>ROUND(E240/0.723358,2)</f>
        <v>69.37</v>
      </c>
      <c r="I240" s="261">
        <f>VLOOKUP($A240,[1]Planilha!$A$18:$BK$553,62,FALSE)</f>
        <v>69.37</v>
      </c>
      <c r="J240" s="261">
        <f t="shared" si="176"/>
        <v>0</v>
      </c>
      <c r="K240" s="378">
        <f>VLOOKUP(A240,[2]Plan1!$H$2:$J$279,3,FALSE)</f>
        <v>48.953784133161548</v>
      </c>
      <c r="L240" s="261">
        <f>VLOOKUP($A240,[1]Planilha!$A$18:$BK$553,52,FALSE)</f>
        <v>48.95</v>
      </c>
      <c r="M240" s="261">
        <f t="shared" si="177"/>
        <v>3.7841331615453555E-3</v>
      </c>
      <c r="N240" s="490">
        <v>67.67</v>
      </c>
      <c r="O240" s="261">
        <f>VLOOKUP($A240,[1]Planilha!$A$18:$BK$553,60,FALSE)</f>
        <v>67.67</v>
      </c>
      <c r="P240" s="261">
        <f t="shared" si="178"/>
        <v>0</v>
      </c>
      <c r="Q240" s="359">
        <f t="shared" si="220"/>
        <v>48.66</v>
      </c>
      <c r="R240" s="261">
        <f>VLOOKUP($A240,[1]Planilha!$A$18:$BK$553,51,FALSE)</f>
        <v>48.66</v>
      </c>
      <c r="S240" s="261">
        <f t="shared" si="179"/>
        <v>0</v>
      </c>
      <c r="T240" s="359">
        <f t="shared" si="221"/>
        <v>67.27</v>
      </c>
      <c r="U240" s="261">
        <f>VLOOKUP($A240,[1]Planilha!$A$18:$BK$553,59,FALSE)</f>
        <v>67.27</v>
      </c>
      <c r="V240" s="261">
        <f t="shared" si="180"/>
        <v>0</v>
      </c>
      <c r="W240" s="359">
        <f t="shared" si="185"/>
        <v>48.36</v>
      </c>
      <c r="X240" s="261">
        <f>VLOOKUP($A240,[1]Planilha!$A$18:$BK$553,50,FALSE)</f>
        <v>48.36</v>
      </c>
      <c r="Y240" s="261">
        <f t="shared" si="181"/>
        <v>0</v>
      </c>
      <c r="Z240" s="359">
        <f t="shared" si="186"/>
        <v>66.849999999999994</v>
      </c>
      <c r="AA240" s="261">
        <f>VLOOKUP($A240,[1]Planilha!$A$18:$BK$553,58,FALSE)</f>
        <v>66.849999999999994</v>
      </c>
      <c r="AB240" s="261">
        <f t="shared" si="182"/>
        <v>0</v>
      </c>
      <c r="AC240" s="359">
        <f t="shared" si="187"/>
        <v>45.62</v>
      </c>
      <c r="AD240" s="261">
        <f>VLOOKUP($A240,[1]Planilha!$A$18:$BK$553,49,FALSE)</f>
        <v>45.62</v>
      </c>
      <c r="AE240" s="261">
        <f t="shared" si="183"/>
        <v>0</v>
      </c>
      <c r="AF240" s="360">
        <f t="shared" si="188"/>
        <v>63.07</v>
      </c>
      <c r="AG240" s="261">
        <f>VLOOKUP($A240,[1]Planilha!$A$18:$BK$553,57,FALSE)</f>
        <v>63.07</v>
      </c>
      <c r="AH240" s="261">
        <f t="shared" si="184"/>
        <v>0</v>
      </c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</row>
    <row r="241" spans="1:46" ht="13.5" thickBot="1">
      <c r="A241" s="229"/>
      <c r="B241" s="152"/>
      <c r="C241" s="152"/>
      <c r="D241" s="166"/>
      <c r="E241" s="167"/>
      <c r="F241" s="261" t="e">
        <f>VLOOKUP($A241,[1]Planilha!$A$18:$BK$553,54,FALSE)</f>
        <v>#N/A</v>
      </c>
      <c r="G241" s="261" t="e">
        <f t="shared" si="175"/>
        <v>#N/A</v>
      </c>
      <c r="H241" s="168"/>
      <c r="I241" s="261" t="e">
        <f>VLOOKUP($A241,[1]Planilha!$A$18:$BK$553,62,FALSE)</f>
        <v>#N/A</v>
      </c>
      <c r="J241" s="261" t="e">
        <f t="shared" si="176"/>
        <v>#N/A</v>
      </c>
      <c r="K241" s="167"/>
      <c r="L241" s="261" t="e">
        <f>VLOOKUP($A241,[1]Planilha!$A$18:$BK$553,52,FALSE)</f>
        <v>#N/A</v>
      </c>
      <c r="M241" s="261" t="e">
        <f t="shared" si="177"/>
        <v>#N/A</v>
      </c>
      <c r="N241" s="168"/>
      <c r="O241" s="261" t="e">
        <f>VLOOKUP($A241,[1]Planilha!$A$18:$BK$553,60,FALSE)</f>
        <v>#N/A</v>
      </c>
      <c r="P241" s="261" t="e">
        <f t="shared" si="178"/>
        <v>#N/A</v>
      </c>
      <c r="Q241" s="167"/>
      <c r="R241" s="261" t="e">
        <f>VLOOKUP($A241,[1]Planilha!$A$18:$BK$553,51,FALSE)</f>
        <v>#N/A</v>
      </c>
      <c r="S241" s="261" t="e">
        <f t="shared" si="179"/>
        <v>#N/A</v>
      </c>
      <c r="T241" s="168"/>
      <c r="U241" s="261" t="e">
        <f>VLOOKUP($A241,[1]Planilha!$A$18:$BK$553,59,FALSE)</f>
        <v>#N/A</v>
      </c>
      <c r="V241" s="261" t="e">
        <f t="shared" si="180"/>
        <v>#N/A</v>
      </c>
      <c r="W241" s="167"/>
      <c r="X241" s="261" t="e">
        <f>VLOOKUP($A241,[1]Planilha!$A$18:$BK$553,50,FALSE)</f>
        <v>#N/A</v>
      </c>
      <c r="Y241" s="261" t="e">
        <f t="shared" si="181"/>
        <v>#N/A</v>
      </c>
      <c r="Z241" s="168"/>
      <c r="AA241" s="261" t="e">
        <f>VLOOKUP($A241,[1]Planilha!$A$18:$BK$553,58,FALSE)</f>
        <v>#N/A</v>
      </c>
      <c r="AB241" s="261" t="e">
        <f t="shared" si="182"/>
        <v>#N/A</v>
      </c>
      <c r="AC241" s="167"/>
      <c r="AD241" s="261" t="e">
        <f>VLOOKUP($A241,[1]Planilha!$A$18:$BK$553,49,FALSE)</f>
        <v>#N/A</v>
      </c>
      <c r="AE241" s="261" t="e">
        <f t="shared" si="183"/>
        <v>#N/A</v>
      </c>
      <c r="AF241" s="169"/>
      <c r="AG241" s="261" t="e">
        <f>VLOOKUP($A241,[1]Planilha!$A$18:$BK$553,57,FALSE)</f>
        <v>#N/A</v>
      </c>
      <c r="AH241" s="261" t="e">
        <f t="shared" si="184"/>
        <v>#N/A</v>
      </c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</row>
    <row r="242" spans="1:46" ht="18.75" customHeight="1" thickBot="1">
      <c r="A242" s="680" t="s">
        <v>295</v>
      </c>
      <c r="B242" s="451" t="s">
        <v>353</v>
      </c>
      <c r="C242" s="466"/>
      <c r="D242" s="467"/>
      <c r="E242" s="465" t="s">
        <v>741</v>
      </c>
      <c r="F242" s="261" t="e">
        <f>VLOOKUP($A242,[1]Planilha!$A$18:$BK$553,54,FALSE)</f>
        <v>#N/A</v>
      </c>
      <c r="G242" s="261" t="e">
        <f t="shared" si="175"/>
        <v>#VALUE!</v>
      </c>
      <c r="H242" s="465"/>
      <c r="I242" s="261" t="e">
        <f>VLOOKUP($A242,[1]Planilha!$A$18:$BK$553,62,FALSE)</f>
        <v>#N/A</v>
      </c>
      <c r="J242" s="261" t="e">
        <f t="shared" si="176"/>
        <v>#N/A</v>
      </c>
      <c r="K242" s="465" t="s">
        <v>292</v>
      </c>
      <c r="L242" s="261" t="e">
        <f>VLOOKUP($A242,[1]Planilha!$A$18:$BK$553,52,FALSE)</f>
        <v>#N/A</v>
      </c>
      <c r="M242" s="261" t="e">
        <f t="shared" si="177"/>
        <v>#VALUE!</v>
      </c>
      <c r="N242" s="465"/>
      <c r="O242" s="261" t="e">
        <f>VLOOKUP($A242,[1]Planilha!$A$18:$BK$553,60,FALSE)</f>
        <v>#N/A</v>
      </c>
      <c r="P242" s="261" t="e">
        <f t="shared" si="178"/>
        <v>#N/A</v>
      </c>
      <c r="Q242" s="465" t="s">
        <v>740</v>
      </c>
      <c r="R242" s="261" t="e">
        <f>VLOOKUP($A242,[1]Planilha!$A$18:$BK$553,51,FALSE)</f>
        <v>#N/A</v>
      </c>
      <c r="S242" s="261" t="e">
        <f t="shared" si="179"/>
        <v>#VALUE!</v>
      </c>
      <c r="T242" s="465"/>
      <c r="U242" s="261" t="e">
        <f>VLOOKUP($A242,[1]Planilha!$A$18:$BK$553,59,FALSE)</f>
        <v>#N/A</v>
      </c>
      <c r="V242" s="261" t="e">
        <f t="shared" si="180"/>
        <v>#N/A</v>
      </c>
      <c r="W242" s="465" t="s">
        <v>293</v>
      </c>
      <c r="X242" s="261" t="e">
        <f>VLOOKUP($A242,[1]Planilha!$A$18:$BK$553,50,FALSE)</f>
        <v>#N/A</v>
      </c>
      <c r="Y242" s="261" t="e">
        <f t="shared" si="181"/>
        <v>#VALUE!</v>
      </c>
      <c r="Z242" s="465"/>
      <c r="AA242" s="261" t="e">
        <f>VLOOKUP($A242,[1]Planilha!$A$18:$BK$553,58,FALSE)</f>
        <v>#N/A</v>
      </c>
      <c r="AB242" s="261" t="e">
        <f t="shared" si="182"/>
        <v>#N/A</v>
      </c>
      <c r="AC242" s="465" t="s">
        <v>322</v>
      </c>
      <c r="AD242" s="261" t="e">
        <f>VLOOKUP($A242,[1]Planilha!$A$18:$BK$553,49,FALSE)</f>
        <v>#N/A</v>
      </c>
      <c r="AE242" s="261" t="e">
        <f t="shared" si="183"/>
        <v>#VALUE!</v>
      </c>
      <c r="AF242" s="470"/>
      <c r="AG242" s="261" t="e">
        <f>VLOOKUP($A242,[1]Planilha!$A$18:$BK$553,57,FALSE)</f>
        <v>#N/A</v>
      </c>
      <c r="AH242" s="261" t="e">
        <f t="shared" si="184"/>
        <v>#N/A</v>
      </c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</row>
    <row r="243" spans="1:46" ht="15.75" customHeight="1">
      <c r="A243" s="449" t="s">
        <v>296</v>
      </c>
      <c r="B243" s="202" t="s">
        <v>13</v>
      </c>
      <c r="C243" s="203" t="s">
        <v>83</v>
      </c>
      <c r="D243" s="101"/>
      <c r="E243" s="204" t="s">
        <v>81</v>
      </c>
      <c r="F243" s="261" t="e">
        <f>VLOOKUP($A243,[1]Planilha!$A$18:$BK$553,54,FALSE)</f>
        <v>#N/A</v>
      </c>
      <c r="G243" s="261" t="e">
        <f t="shared" si="175"/>
        <v>#VALUE!</v>
      </c>
      <c r="H243" s="196" t="s">
        <v>82</v>
      </c>
      <c r="I243" s="261" t="e">
        <f>VLOOKUP($A243,[1]Planilha!$A$18:$BK$553,62,FALSE)</f>
        <v>#N/A</v>
      </c>
      <c r="J243" s="261" t="e">
        <f t="shared" si="176"/>
        <v>#VALUE!</v>
      </c>
      <c r="K243" s="204" t="s">
        <v>81</v>
      </c>
      <c r="L243" s="261" t="e">
        <f>VLOOKUP($A243,[1]Planilha!$A$18:$BK$553,52,FALSE)</f>
        <v>#N/A</v>
      </c>
      <c r="M243" s="261" t="e">
        <f t="shared" si="177"/>
        <v>#VALUE!</v>
      </c>
      <c r="N243" s="196" t="s">
        <v>82</v>
      </c>
      <c r="O243" s="261" t="e">
        <f>VLOOKUP($A243,[1]Planilha!$A$18:$BK$553,60,FALSE)</f>
        <v>#N/A</v>
      </c>
      <c r="P243" s="261" t="e">
        <f t="shared" si="178"/>
        <v>#VALUE!</v>
      </c>
      <c r="Q243" s="204" t="s">
        <v>81</v>
      </c>
      <c r="R243" s="261" t="e">
        <f>VLOOKUP($A243,[1]Planilha!$A$18:$BK$553,51,FALSE)</f>
        <v>#N/A</v>
      </c>
      <c r="S243" s="261" t="e">
        <f t="shared" si="179"/>
        <v>#VALUE!</v>
      </c>
      <c r="T243" s="196" t="s">
        <v>82</v>
      </c>
      <c r="U243" s="261" t="e">
        <f>VLOOKUP($A243,[1]Planilha!$A$18:$BK$553,59,FALSE)</f>
        <v>#N/A</v>
      </c>
      <c r="V243" s="261" t="e">
        <f t="shared" si="180"/>
        <v>#VALUE!</v>
      </c>
      <c r="W243" s="204" t="s">
        <v>81</v>
      </c>
      <c r="X243" s="261" t="e">
        <f>VLOOKUP($A243,[1]Planilha!$A$18:$BK$553,50,FALSE)</f>
        <v>#N/A</v>
      </c>
      <c r="Y243" s="261" t="e">
        <f t="shared" si="181"/>
        <v>#VALUE!</v>
      </c>
      <c r="Z243" s="196" t="s">
        <v>82</v>
      </c>
      <c r="AA243" s="261" t="e">
        <f>VLOOKUP($A243,[1]Planilha!$A$18:$BK$553,58,FALSE)</f>
        <v>#N/A</v>
      </c>
      <c r="AB243" s="261" t="e">
        <f t="shared" si="182"/>
        <v>#VALUE!</v>
      </c>
      <c r="AC243" s="204" t="s">
        <v>81</v>
      </c>
      <c r="AD243" s="261" t="e">
        <f>VLOOKUP($A243,[1]Planilha!$A$18:$BK$553,49,FALSE)</f>
        <v>#N/A</v>
      </c>
      <c r="AE243" s="261" t="e">
        <f t="shared" si="183"/>
        <v>#VALUE!</v>
      </c>
      <c r="AF243" s="197" t="s">
        <v>82</v>
      </c>
      <c r="AG243" s="261" t="e">
        <f>VLOOKUP($A243,[1]Planilha!$A$18:$BK$553,57,FALSE)</f>
        <v>#N/A</v>
      </c>
      <c r="AH243" s="261" t="e">
        <f t="shared" si="184"/>
        <v>#VALUE!</v>
      </c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</row>
    <row r="244" spans="1:46" ht="16.5" customHeight="1">
      <c r="A244" s="693"/>
      <c r="B244" s="179" t="s">
        <v>14</v>
      </c>
      <c r="C244" s="120" t="s">
        <v>379</v>
      </c>
      <c r="D244" s="101" t="s">
        <v>84</v>
      </c>
      <c r="E244" s="198" t="s">
        <v>85</v>
      </c>
      <c r="F244" s="261" t="e">
        <f>VLOOKUP($A244,[1]Planilha!$A$18:$BK$553,54,FALSE)</f>
        <v>#N/A</v>
      </c>
      <c r="G244" s="261" t="e">
        <f t="shared" si="175"/>
        <v>#VALUE!</v>
      </c>
      <c r="H244" s="196" t="s">
        <v>297</v>
      </c>
      <c r="I244" s="261" t="e">
        <f>VLOOKUP($A244,[1]Planilha!$A$18:$BK$553,62,FALSE)</f>
        <v>#N/A</v>
      </c>
      <c r="J244" s="261" t="e">
        <f t="shared" si="176"/>
        <v>#VALUE!</v>
      </c>
      <c r="K244" s="198" t="s">
        <v>85</v>
      </c>
      <c r="L244" s="261" t="e">
        <f>VLOOKUP($A244,[1]Planilha!$A$18:$BK$553,52,FALSE)</f>
        <v>#N/A</v>
      </c>
      <c r="M244" s="261" t="e">
        <f t="shared" si="177"/>
        <v>#VALUE!</v>
      </c>
      <c r="N244" s="196" t="s">
        <v>297</v>
      </c>
      <c r="O244" s="261" t="e">
        <f>VLOOKUP($A244,[1]Planilha!$A$18:$BK$553,60,FALSE)</f>
        <v>#N/A</v>
      </c>
      <c r="P244" s="261" t="e">
        <f t="shared" si="178"/>
        <v>#VALUE!</v>
      </c>
      <c r="Q244" s="198" t="s">
        <v>85</v>
      </c>
      <c r="R244" s="261" t="e">
        <f>VLOOKUP($A244,[1]Planilha!$A$18:$BK$553,51,FALSE)</f>
        <v>#N/A</v>
      </c>
      <c r="S244" s="261" t="e">
        <f t="shared" si="179"/>
        <v>#VALUE!</v>
      </c>
      <c r="T244" s="196" t="s">
        <v>297</v>
      </c>
      <c r="U244" s="261" t="e">
        <f>VLOOKUP($A244,[1]Planilha!$A$18:$BK$553,59,FALSE)</f>
        <v>#N/A</v>
      </c>
      <c r="V244" s="261" t="e">
        <f t="shared" si="180"/>
        <v>#VALUE!</v>
      </c>
      <c r="W244" s="198" t="s">
        <v>85</v>
      </c>
      <c r="X244" s="261" t="e">
        <f>VLOOKUP($A244,[1]Planilha!$A$18:$BK$553,50,FALSE)</f>
        <v>#N/A</v>
      </c>
      <c r="Y244" s="261" t="e">
        <f t="shared" si="181"/>
        <v>#VALUE!</v>
      </c>
      <c r="Z244" s="196" t="s">
        <v>297</v>
      </c>
      <c r="AA244" s="261" t="e">
        <f>VLOOKUP($A244,[1]Planilha!$A$18:$BK$553,58,FALSE)</f>
        <v>#N/A</v>
      </c>
      <c r="AB244" s="261" t="e">
        <f t="shared" si="182"/>
        <v>#VALUE!</v>
      </c>
      <c r="AC244" s="198" t="s">
        <v>85</v>
      </c>
      <c r="AD244" s="261" t="e">
        <f>VLOOKUP($A244,[1]Planilha!$A$18:$BK$553,49,FALSE)</f>
        <v>#N/A</v>
      </c>
      <c r="AE244" s="261" t="e">
        <f t="shared" si="183"/>
        <v>#VALUE!</v>
      </c>
      <c r="AF244" s="197" t="s">
        <v>297</v>
      </c>
      <c r="AG244" s="261" t="e">
        <f>VLOOKUP($A244,[1]Planilha!$A$18:$BK$553,57,FALSE)</f>
        <v>#N/A</v>
      </c>
      <c r="AH244" s="261" t="e">
        <f t="shared" si="184"/>
        <v>#VALUE!</v>
      </c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</row>
    <row r="245" spans="1:46" ht="15">
      <c r="A245" s="684"/>
      <c r="B245" s="114" t="s">
        <v>423</v>
      </c>
      <c r="C245" s="114"/>
      <c r="D245" s="104"/>
      <c r="E245" s="302"/>
      <c r="F245" s="261" t="e">
        <f>VLOOKUP($A245,[1]Planilha!$A$18:$BK$553,54,FALSE)</f>
        <v>#N/A</v>
      </c>
      <c r="G245" s="261" t="e">
        <f t="shared" si="175"/>
        <v>#N/A</v>
      </c>
      <c r="H245" s="303"/>
      <c r="I245" s="261" t="e">
        <f>VLOOKUP($A245,[1]Planilha!$A$18:$BK$553,62,FALSE)</f>
        <v>#N/A</v>
      </c>
      <c r="J245" s="261" t="e">
        <f t="shared" si="176"/>
        <v>#N/A</v>
      </c>
      <c r="K245" s="308"/>
      <c r="L245" s="261" t="e">
        <f>VLOOKUP($A245,[1]Planilha!$A$18:$BK$553,52,FALSE)</f>
        <v>#N/A</v>
      </c>
      <c r="M245" s="261" t="e">
        <f t="shared" si="177"/>
        <v>#N/A</v>
      </c>
      <c r="N245" s="303"/>
      <c r="O245" s="261" t="e">
        <f>VLOOKUP($A245,[1]Planilha!$A$18:$BK$553,60,FALSE)</f>
        <v>#N/A</v>
      </c>
      <c r="P245" s="261" t="e">
        <f t="shared" si="178"/>
        <v>#N/A</v>
      </c>
      <c r="Q245" s="302"/>
      <c r="R245" s="261" t="e">
        <f>VLOOKUP($A245,[1]Planilha!$A$18:$BK$553,51,FALSE)</f>
        <v>#N/A</v>
      </c>
      <c r="S245" s="261" t="e">
        <f t="shared" si="179"/>
        <v>#N/A</v>
      </c>
      <c r="T245" s="303"/>
      <c r="U245" s="261" t="e">
        <f>VLOOKUP($A245,[1]Planilha!$A$18:$BK$553,59,FALSE)</f>
        <v>#N/A</v>
      </c>
      <c r="V245" s="261" t="e">
        <f t="shared" si="180"/>
        <v>#N/A</v>
      </c>
      <c r="W245" s="302"/>
      <c r="X245" s="261" t="e">
        <f>VLOOKUP($A245,[1]Planilha!$A$18:$BK$553,50,FALSE)</f>
        <v>#N/A</v>
      </c>
      <c r="Y245" s="261" t="e">
        <f t="shared" si="181"/>
        <v>#N/A</v>
      </c>
      <c r="Z245" s="303"/>
      <c r="AA245" s="261" t="e">
        <f>VLOOKUP($A245,[1]Planilha!$A$18:$BK$553,58,FALSE)</f>
        <v>#N/A</v>
      </c>
      <c r="AB245" s="261" t="e">
        <f t="shared" si="182"/>
        <v>#N/A</v>
      </c>
      <c r="AC245" s="308"/>
      <c r="AD245" s="261" t="e">
        <f>VLOOKUP($A245,[1]Planilha!$A$18:$BK$553,49,FALSE)</f>
        <v>#N/A</v>
      </c>
      <c r="AE245" s="261" t="e">
        <f t="shared" si="183"/>
        <v>#N/A</v>
      </c>
      <c r="AF245" s="304"/>
      <c r="AG245" s="261" t="e">
        <f>VLOOKUP($A245,[1]Planilha!$A$18:$BK$553,57,FALSE)</f>
        <v>#N/A</v>
      </c>
      <c r="AH245" s="261" t="e">
        <f t="shared" si="184"/>
        <v>#N/A</v>
      </c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</row>
    <row r="246" spans="1:46">
      <c r="A246" s="688">
        <v>7891721200915</v>
      </c>
      <c r="B246" s="139">
        <v>1008903340063</v>
      </c>
      <c r="C246" s="122" t="s">
        <v>421</v>
      </c>
      <c r="D246" s="218" t="s">
        <v>422</v>
      </c>
      <c r="E246" s="280">
        <f>ROUND(K246*1.028952,2)</f>
        <v>15.23</v>
      </c>
      <c r="F246" s="261">
        <f>VLOOKUP($A246,[1]Planilha!$A$18:$BK$553,54,FALSE)</f>
        <v>15.01</v>
      </c>
      <c r="G246" s="261">
        <f t="shared" si="175"/>
        <v>0.22000000000000064</v>
      </c>
      <c r="H246" s="280">
        <f>ROUND(E246/0.751296,2)</f>
        <v>20.27</v>
      </c>
      <c r="I246" s="261">
        <f>VLOOKUP($A246,[1]Planilha!$A$18:$BK$553,62,FALSE)</f>
        <v>20.27</v>
      </c>
      <c r="J246" s="261">
        <f t="shared" si="176"/>
        <v>0</v>
      </c>
      <c r="K246" s="280">
        <f>VLOOKUP(A246,[2]Plan1!$H$2:$J$279,3,FALSE)</f>
        <v>14.799242725277123</v>
      </c>
      <c r="L246" s="261">
        <f>VLOOKUP($A246,[1]Planilha!$A$18:$BK$553,52,FALSE)</f>
        <v>14.8</v>
      </c>
      <c r="M246" s="261">
        <f t="shared" si="177"/>
        <v>-7.5727472287745456E-4</v>
      </c>
      <c r="N246" s="280">
        <f>ROUND(K246/0.750577,2)</f>
        <v>19.72</v>
      </c>
      <c r="O246" s="261">
        <f>VLOOKUP($A246,[1]Planilha!$A$18:$BK$553,60,FALSE)</f>
        <v>19.72</v>
      </c>
      <c r="P246" s="261">
        <f t="shared" si="178"/>
        <v>0</v>
      </c>
      <c r="Q246" s="280">
        <f>ROUND(K246*0.993015,2)</f>
        <v>14.7</v>
      </c>
      <c r="R246" s="261">
        <f>VLOOKUP($A246,[1]Planilha!$A$18:$BK$553,51,FALSE)</f>
        <v>14.7</v>
      </c>
      <c r="S246" s="261">
        <f t="shared" si="179"/>
        <v>0</v>
      </c>
      <c r="T246" s="280">
        <f>ROUND(Q246/0.750402,2)</f>
        <v>19.59</v>
      </c>
      <c r="U246" s="261">
        <f>VLOOKUP($A246,[1]Planilha!$A$18:$BK$553,59,FALSE)</f>
        <v>19.59</v>
      </c>
      <c r="V246" s="261">
        <f t="shared" si="180"/>
        <v>0</v>
      </c>
      <c r="W246" s="280">
        <f>ROUND(K246*0.986128,2)</f>
        <v>14.59</v>
      </c>
      <c r="X246" s="261">
        <f>VLOOKUP($A246,[1]Planilha!$A$18:$BK$553,50,FALSE)</f>
        <v>14.59</v>
      </c>
      <c r="Y246" s="261">
        <f t="shared" si="181"/>
        <v>0</v>
      </c>
      <c r="Z246" s="280">
        <f>ROUND(W246/0.75023,2)</f>
        <v>19.45</v>
      </c>
      <c r="AA246" s="261">
        <f>VLOOKUP($A246,[1]Planilha!$A$18:$BK$553,58,FALSE)</f>
        <v>19.45</v>
      </c>
      <c r="AB246" s="261">
        <f t="shared" si="182"/>
        <v>0</v>
      </c>
      <c r="AC246" s="280">
        <f>ROUND(K246*0.922175,2)</f>
        <v>13.65</v>
      </c>
      <c r="AD246" s="261">
        <f>VLOOKUP($A246,[1]Planilha!$A$18:$BK$553,49,FALSE)</f>
        <v>13.65</v>
      </c>
      <c r="AE246" s="261">
        <f t="shared" si="183"/>
        <v>0</v>
      </c>
      <c r="AF246" s="281">
        <f>ROUND(AC246/0.748624,2)</f>
        <v>18.23</v>
      </c>
      <c r="AG246" s="261">
        <f>VLOOKUP($A246,[1]Planilha!$A$18:$BK$553,57,FALSE)</f>
        <v>18.23</v>
      </c>
      <c r="AH246" s="261">
        <f t="shared" si="184"/>
        <v>0</v>
      </c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</row>
    <row r="247" spans="1:46" ht="15">
      <c r="A247" s="684"/>
      <c r="B247" s="114" t="s">
        <v>341</v>
      </c>
      <c r="C247" s="114"/>
      <c r="D247" s="104"/>
      <c r="E247" s="302"/>
      <c r="F247" s="261" t="e">
        <f>VLOOKUP($A247,[1]Planilha!$A$18:$BK$553,54,FALSE)</f>
        <v>#N/A</v>
      </c>
      <c r="G247" s="261" t="e">
        <f t="shared" si="175"/>
        <v>#N/A</v>
      </c>
      <c r="H247" s="303"/>
      <c r="I247" s="261" t="e">
        <f>VLOOKUP($A247,[1]Planilha!$A$18:$BK$553,62,FALSE)</f>
        <v>#N/A</v>
      </c>
      <c r="J247" s="261" t="e">
        <f t="shared" si="176"/>
        <v>#N/A</v>
      </c>
      <c r="K247" s="280"/>
      <c r="L247" s="261" t="e">
        <f>VLOOKUP($A247,[1]Planilha!$A$18:$BK$553,52,FALSE)</f>
        <v>#N/A</v>
      </c>
      <c r="M247" s="261" t="e">
        <f t="shared" si="177"/>
        <v>#N/A</v>
      </c>
      <c r="N247" s="303"/>
      <c r="O247" s="261" t="e">
        <f>VLOOKUP($A247,[1]Planilha!$A$18:$BK$553,60,FALSE)</f>
        <v>#N/A</v>
      </c>
      <c r="P247" s="261" t="e">
        <f t="shared" si="178"/>
        <v>#N/A</v>
      </c>
      <c r="Q247" s="302"/>
      <c r="R247" s="261" t="e">
        <f>VLOOKUP($A247,[1]Planilha!$A$18:$BK$553,51,FALSE)</f>
        <v>#N/A</v>
      </c>
      <c r="S247" s="261" t="e">
        <f t="shared" si="179"/>
        <v>#N/A</v>
      </c>
      <c r="T247" s="303"/>
      <c r="U247" s="261" t="e">
        <f>VLOOKUP($A247,[1]Planilha!$A$18:$BK$553,59,FALSE)</f>
        <v>#N/A</v>
      </c>
      <c r="V247" s="261" t="e">
        <f t="shared" si="180"/>
        <v>#N/A</v>
      </c>
      <c r="W247" s="302"/>
      <c r="X247" s="261" t="e">
        <f>VLOOKUP($A247,[1]Planilha!$A$18:$BK$553,50,FALSE)</f>
        <v>#N/A</v>
      </c>
      <c r="Y247" s="261" t="e">
        <f t="shared" si="181"/>
        <v>#N/A</v>
      </c>
      <c r="Z247" s="303"/>
      <c r="AA247" s="261" t="e">
        <f>VLOOKUP($A247,[1]Planilha!$A$18:$BK$553,58,FALSE)</f>
        <v>#N/A</v>
      </c>
      <c r="AB247" s="261" t="e">
        <f t="shared" si="182"/>
        <v>#N/A</v>
      </c>
      <c r="AC247" s="308"/>
      <c r="AD247" s="261" t="e">
        <f>VLOOKUP($A247,[1]Planilha!$A$18:$BK$553,49,FALSE)</f>
        <v>#N/A</v>
      </c>
      <c r="AE247" s="261" t="e">
        <f t="shared" si="183"/>
        <v>#N/A</v>
      </c>
      <c r="AF247" s="304"/>
      <c r="AG247" s="261" t="e">
        <f>VLOOKUP($A247,[1]Planilha!$A$18:$BK$553,57,FALSE)</f>
        <v>#N/A</v>
      </c>
      <c r="AH247" s="261" t="e">
        <f t="shared" si="184"/>
        <v>#N/A</v>
      </c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</row>
    <row r="248" spans="1:46" s="150" customFormat="1">
      <c r="A248" s="685">
        <v>7891721270406</v>
      </c>
      <c r="B248" s="176">
        <v>1008903330033</v>
      </c>
      <c r="C248" s="117" t="s">
        <v>523</v>
      </c>
      <c r="D248" s="94" t="s">
        <v>3</v>
      </c>
      <c r="E248" s="282">
        <f>ROUND(K248*1.028952,2)</f>
        <v>42.8</v>
      </c>
      <c r="F248" s="261">
        <f>VLOOKUP($A248,[1]Planilha!$A$18:$BK$553,54,FALSE)</f>
        <v>42.19</v>
      </c>
      <c r="G248" s="261">
        <f t="shared" si="175"/>
        <v>0.60999999999999943</v>
      </c>
      <c r="H248" s="282">
        <f>ROUND(E248/0.751296,2)</f>
        <v>56.97</v>
      </c>
      <c r="I248" s="261">
        <f>VLOOKUP($A248,[1]Planilha!$A$18:$BK$553,62,FALSE)</f>
        <v>56.97</v>
      </c>
      <c r="J248" s="261">
        <f t="shared" si="176"/>
        <v>0</v>
      </c>
      <c r="K248" s="280">
        <f>VLOOKUP(A248,[2]Plan1!$H$2:$J$279,3,FALSE)</f>
        <v>41.598144000000005</v>
      </c>
      <c r="L248" s="261">
        <f>VLOOKUP($A248,[1]Planilha!$A$18:$BK$553,52,FALSE)</f>
        <v>41.6</v>
      </c>
      <c r="M248" s="261">
        <f t="shared" si="177"/>
        <v>-1.8559999999965271E-3</v>
      </c>
      <c r="N248" s="282">
        <f t="shared" ref="N248:N249" si="223">ROUND(K248/0.750577,2)</f>
        <v>55.42</v>
      </c>
      <c r="O248" s="261">
        <f>VLOOKUP($A248,[1]Planilha!$A$18:$BK$553,60,FALSE)</f>
        <v>55.42</v>
      </c>
      <c r="P248" s="261">
        <f t="shared" si="178"/>
        <v>0</v>
      </c>
      <c r="Q248" s="282">
        <f t="shared" ref="Q248" si="224">ROUND(K248*0.993015,2)</f>
        <v>41.31</v>
      </c>
      <c r="R248" s="261">
        <f>VLOOKUP($A248,[1]Planilha!$A$18:$BK$553,51,FALSE)</f>
        <v>41.31</v>
      </c>
      <c r="S248" s="261">
        <f t="shared" si="179"/>
        <v>0</v>
      </c>
      <c r="T248" s="282">
        <f t="shared" ref="T248:T249" si="225">ROUND(Q248/0.750402,2)</f>
        <v>55.05</v>
      </c>
      <c r="U248" s="261">
        <f>VLOOKUP($A248,[1]Planilha!$A$18:$BK$553,59,FALSE)</f>
        <v>55.05</v>
      </c>
      <c r="V248" s="261">
        <f t="shared" si="180"/>
        <v>0</v>
      </c>
      <c r="W248" s="282">
        <f>ROUND(K248*0.986128,2)</f>
        <v>41.02</v>
      </c>
      <c r="X248" s="261">
        <f>VLOOKUP($A248,[1]Planilha!$A$18:$BK$553,50,FALSE)</f>
        <v>41.02</v>
      </c>
      <c r="Y248" s="261">
        <f t="shared" si="181"/>
        <v>0</v>
      </c>
      <c r="Z248" s="282">
        <f>ROUND(W248/0.75023,2)</f>
        <v>54.68</v>
      </c>
      <c r="AA248" s="261">
        <f>VLOOKUP($A248,[1]Planilha!$A$18:$BK$553,58,FALSE)</f>
        <v>54.68</v>
      </c>
      <c r="AB248" s="261">
        <f t="shared" si="182"/>
        <v>0</v>
      </c>
      <c r="AC248" s="282">
        <f>ROUND(K248*0.922175,2)</f>
        <v>38.36</v>
      </c>
      <c r="AD248" s="261">
        <f>VLOOKUP($A248,[1]Planilha!$A$18:$BK$553,49,FALSE)</f>
        <v>38.36</v>
      </c>
      <c r="AE248" s="261">
        <f t="shared" si="183"/>
        <v>0</v>
      </c>
      <c r="AF248" s="283">
        <f>ROUND(AC248/0.748624,2)</f>
        <v>51.24</v>
      </c>
      <c r="AG248" s="261">
        <f>VLOOKUP($A248,[1]Planilha!$A$18:$BK$553,57,FALSE)</f>
        <v>51.24</v>
      </c>
      <c r="AH248" s="261">
        <f t="shared" si="184"/>
        <v>0</v>
      </c>
    </row>
    <row r="249" spans="1:46" s="150" customFormat="1">
      <c r="A249" s="685">
        <v>7891721270420</v>
      </c>
      <c r="B249" s="176">
        <v>1008903330051</v>
      </c>
      <c r="C249" s="122" t="s">
        <v>524</v>
      </c>
      <c r="D249" s="130" t="s">
        <v>4</v>
      </c>
      <c r="E249" s="289">
        <f>ROUND(K249*1.028952,2)</f>
        <v>80.8</v>
      </c>
      <c r="F249" s="261">
        <f>VLOOKUP($A249,[1]Planilha!$A$18:$BK$553,54,FALSE)</f>
        <v>79.64</v>
      </c>
      <c r="G249" s="261">
        <f t="shared" si="175"/>
        <v>1.1599999999999966</v>
      </c>
      <c r="H249" s="289">
        <f>ROUND(E249/0.751296,2)</f>
        <v>107.55</v>
      </c>
      <c r="I249" s="261">
        <f>VLOOKUP($A249,[1]Planilha!$A$18:$BK$553,62,FALSE)</f>
        <v>107.55</v>
      </c>
      <c r="J249" s="261">
        <f t="shared" si="176"/>
        <v>0</v>
      </c>
      <c r="K249" s="280">
        <f>VLOOKUP(A249,[2]Plan1!$H$2:$J$279,3,FALSE)</f>
        <v>78.523592000000008</v>
      </c>
      <c r="L249" s="261">
        <f>VLOOKUP($A249,[1]Planilha!$A$18:$BK$553,52,FALSE)</f>
        <v>78.52</v>
      </c>
      <c r="M249" s="261">
        <f t="shared" si="177"/>
        <v>3.592000000011808E-3</v>
      </c>
      <c r="N249" s="289">
        <f t="shared" si="223"/>
        <v>104.62</v>
      </c>
      <c r="O249" s="261">
        <f>VLOOKUP($A249,[1]Planilha!$A$18:$BK$553,60,FALSE)</f>
        <v>104.62</v>
      </c>
      <c r="P249" s="261">
        <f t="shared" si="178"/>
        <v>0</v>
      </c>
      <c r="Q249" s="490">
        <v>77.97</v>
      </c>
      <c r="R249" s="261">
        <f>VLOOKUP($A249,[1]Planilha!$A$18:$BK$553,51,FALSE)</f>
        <v>77.97</v>
      </c>
      <c r="S249" s="261">
        <f t="shared" si="179"/>
        <v>0</v>
      </c>
      <c r="T249" s="289">
        <f t="shared" si="225"/>
        <v>103.9</v>
      </c>
      <c r="U249" s="261">
        <f>VLOOKUP($A249,[1]Planilha!$A$18:$BK$553,59,FALSE)</f>
        <v>103.9</v>
      </c>
      <c r="V249" s="261">
        <f t="shared" si="180"/>
        <v>0</v>
      </c>
      <c r="W249" s="289">
        <f>ROUND(K249*0.986128,2)</f>
        <v>77.430000000000007</v>
      </c>
      <c r="X249" s="261">
        <f>VLOOKUP($A249,[1]Planilha!$A$18:$BK$553,50,FALSE)</f>
        <v>77.430000000000007</v>
      </c>
      <c r="Y249" s="261">
        <f t="shared" si="181"/>
        <v>0</v>
      </c>
      <c r="Z249" s="289">
        <f>ROUND(W249/0.75023,2)</f>
        <v>103.21</v>
      </c>
      <c r="AA249" s="261">
        <f>VLOOKUP($A249,[1]Planilha!$A$18:$BK$553,58,FALSE)</f>
        <v>103.21</v>
      </c>
      <c r="AB249" s="261">
        <f t="shared" si="182"/>
        <v>0</v>
      </c>
      <c r="AC249" s="289">
        <f>ROUND(K249*0.922175,2)</f>
        <v>72.41</v>
      </c>
      <c r="AD249" s="261">
        <f>VLOOKUP($A249,[1]Planilha!$A$18:$BK$553,49,FALSE)</f>
        <v>72.41</v>
      </c>
      <c r="AE249" s="261">
        <f t="shared" si="183"/>
        <v>0</v>
      </c>
      <c r="AF249" s="290">
        <f>ROUND(AC249/0.748624,2)</f>
        <v>96.72</v>
      </c>
      <c r="AG249" s="261">
        <f>VLOOKUP($A249,[1]Planilha!$A$18:$BK$553,57,FALSE)</f>
        <v>96.72</v>
      </c>
      <c r="AH249" s="261">
        <f t="shared" si="184"/>
        <v>0</v>
      </c>
    </row>
    <row r="250" spans="1:46" ht="15">
      <c r="A250" s="684"/>
      <c r="B250" s="114" t="s">
        <v>354</v>
      </c>
      <c r="C250" s="114"/>
      <c r="D250" s="104"/>
      <c r="E250" s="302"/>
      <c r="F250" s="261" t="e">
        <f>VLOOKUP($A250,[1]Planilha!$A$18:$BK$553,54,FALSE)</f>
        <v>#N/A</v>
      </c>
      <c r="G250" s="261" t="e">
        <f t="shared" si="175"/>
        <v>#N/A</v>
      </c>
      <c r="H250" s="303"/>
      <c r="I250" s="261" t="e">
        <f>VLOOKUP($A250,[1]Planilha!$A$18:$BK$553,62,FALSE)</f>
        <v>#N/A</v>
      </c>
      <c r="J250" s="261" t="e">
        <f t="shared" si="176"/>
        <v>#N/A</v>
      </c>
      <c r="K250" s="280"/>
      <c r="L250" s="261" t="e">
        <f>VLOOKUP($A250,[1]Planilha!$A$18:$BK$553,52,FALSE)</f>
        <v>#N/A</v>
      </c>
      <c r="M250" s="261" t="e">
        <f t="shared" si="177"/>
        <v>#N/A</v>
      </c>
      <c r="N250" s="303"/>
      <c r="O250" s="261" t="e">
        <f>VLOOKUP($A250,[1]Planilha!$A$18:$BK$553,60,FALSE)</f>
        <v>#N/A</v>
      </c>
      <c r="P250" s="261" t="e">
        <f t="shared" si="178"/>
        <v>#N/A</v>
      </c>
      <c r="Q250" s="302"/>
      <c r="R250" s="261" t="e">
        <f>VLOOKUP($A250,[1]Planilha!$A$18:$BK$553,51,FALSE)</f>
        <v>#N/A</v>
      </c>
      <c r="S250" s="261" t="e">
        <f t="shared" si="179"/>
        <v>#N/A</v>
      </c>
      <c r="T250" s="303"/>
      <c r="U250" s="261" t="e">
        <f>VLOOKUP($A250,[1]Planilha!$A$18:$BK$553,59,FALSE)</f>
        <v>#N/A</v>
      </c>
      <c r="V250" s="261" t="e">
        <f t="shared" si="180"/>
        <v>#N/A</v>
      </c>
      <c r="W250" s="302"/>
      <c r="X250" s="261" t="e">
        <f>VLOOKUP($A250,[1]Planilha!$A$18:$BK$553,50,FALSE)</f>
        <v>#N/A</v>
      </c>
      <c r="Y250" s="261" t="e">
        <f t="shared" si="181"/>
        <v>#N/A</v>
      </c>
      <c r="Z250" s="303"/>
      <c r="AA250" s="261" t="e">
        <f>VLOOKUP($A250,[1]Planilha!$A$18:$BK$553,58,FALSE)</f>
        <v>#N/A</v>
      </c>
      <c r="AB250" s="261" t="e">
        <f t="shared" si="182"/>
        <v>#N/A</v>
      </c>
      <c r="AC250" s="308"/>
      <c r="AD250" s="261" t="e">
        <f>VLOOKUP($A250,[1]Planilha!$A$18:$BK$553,49,FALSE)</f>
        <v>#N/A</v>
      </c>
      <c r="AE250" s="261" t="e">
        <f t="shared" si="183"/>
        <v>#N/A</v>
      </c>
      <c r="AF250" s="304"/>
      <c r="AG250" s="261" t="e">
        <f>VLOOKUP($A250,[1]Planilha!$A$18:$BK$553,57,FALSE)</f>
        <v>#N/A</v>
      </c>
      <c r="AH250" s="261" t="e">
        <f t="shared" si="184"/>
        <v>#N/A</v>
      </c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</row>
    <row r="251" spans="1:46" ht="13.5" thickBot="1">
      <c r="A251" s="694">
        <v>7891721270505</v>
      </c>
      <c r="B251" s="381" t="s">
        <v>57</v>
      </c>
      <c r="C251" s="118" t="s">
        <v>525</v>
      </c>
      <c r="D251" s="382" t="s">
        <v>355</v>
      </c>
      <c r="E251" s="291">
        <f>ROUND(K251*1.028952,2)</f>
        <v>27.02</v>
      </c>
      <c r="F251" s="261">
        <f>VLOOKUP($A251,[1]Planilha!$A$18:$BK$553,54,FALSE)</f>
        <v>26.64</v>
      </c>
      <c r="G251" s="261">
        <f t="shared" si="175"/>
        <v>0.37999999999999901</v>
      </c>
      <c r="H251" s="291">
        <f>ROUND(E251/0.751296,2)</f>
        <v>35.96</v>
      </c>
      <c r="I251" s="261">
        <f>VLOOKUP($A251,[1]Planilha!$A$18:$BK$553,62,FALSE)</f>
        <v>35.96</v>
      </c>
      <c r="J251" s="261">
        <f t="shared" si="176"/>
        <v>0</v>
      </c>
      <c r="K251" s="280">
        <f>VLOOKUP(A251,[2]Plan1!$H$2:$J$279,3,FALSE)</f>
        <v>26.263029493224057</v>
      </c>
      <c r="L251" s="261">
        <f>VLOOKUP($A251,[1]Planilha!$A$18:$BK$553,52,FALSE)</f>
        <v>26.26</v>
      </c>
      <c r="M251" s="261">
        <f t="shared" si="177"/>
        <v>3.029493224055102E-3</v>
      </c>
      <c r="N251" s="291">
        <f>ROUND(K251/0.750577,2)</f>
        <v>34.99</v>
      </c>
      <c r="O251" s="261">
        <f>VLOOKUP($A251,[1]Planilha!$A$18:$BK$553,60,FALSE)</f>
        <v>34.99</v>
      </c>
      <c r="P251" s="261">
        <f t="shared" si="178"/>
        <v>0</v>
      </c>
      <c r="Q251" s="291">
        <f>ROUND(K251*0.993015,2)</f>
        <v>26.08</v>
      </c>
      <c r="R251" s="261">
        <f>VLOOKUP($A251,[1]Planilha!$A$18:$BK$553,51,FALSE)</f>
        <v>26.08</v>
      </c>
      <c r="S251" s="261">
        <f t="shared" si="179"/>
        <v>0</v>
      </c>
      <c r="T251" s="291">
        <f>ROUND(Q251/0.750402,2)</f>
        <v>34.75</v>
      </c>
      <c r="U251" s="261">
        <f>VLOOKUP($A251,[1]Planilha!$A$18:$BK$553,59,FALSE)</f>
        <v>34.75</v>
      </c>
      <c r="V251" s="261">
        <f t="shared" si="180"/>
        <v>0</v>
      </c>
      <c r="W251" s="291">
        <f>ROUND(K251*0.986128,2)</f>
        <v>25.9</v>
      </c>
      <c r="X251" s="261">
        <f>VLOOKUP($A251,[1]Planilha!$A$18:$BK$553,50,FALSE)</f>
        <v>25.9</v>
      </c>
      <c r="Y251" s="261">
        <f t="shared" si="181"/>
        <v>0</v>
      </c>
      <c r="Z251" s="291">
        <f>ROUND(W251/0.75023,2)</f>
        <v>34.520000000000003</v>
      </c>
      <c r="AA251" s="261">
        <f>VLOOKUP($A251,[1]Planilha!$A$18:$BK$553,58,FALSE)</f>
        <v>34.520000000000003</v>
      </c>
      <c r="AB251" s="261">
        <f t="shared" si="182"/>
        <v>0</v>
      </c>
      <c r="AC251" s="291">
        <f>ROUND(K251*0.922175,2)</f>
        <v>24.22</v>
      </c>
      <c r="AD251" s="261">
        <f>VLOOKUP($A251,[1]Planilha!$A$18:$BK$553,49,FALSE)</f>
        <v>24.22</v>
      </c>
      <c r="AE251" s="261">
        <f t="shared" si="183"/>
        <v>0</v>
      </c>
      <c r="AF251" s="309">
        <f>ROUND(AC251/0.748624,2)</f>
        <v>32.35</v>
      </c>
      <c r="AG251" s="261">
        <f>VLOOKUP($A251,[1]Planilha!$A$18:$BK$553,57,FALSE)</f>
        <v>32.35</v>
      </c>
      <c r="AH251" s="261">
        <f t="shared" si="184"/>
        <v>0</v>
      </c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</row>
    <row r="252" spans="1:46" s="481" customFormat="1" ht="18.75" customHeight="1" thickBot="1">
      <c r="A252" s="680" t="s">
        <v>295</v>
      </c>
      <c r="B252" s="452" t="s">
        <v>281</v>
      </c>
      <c r="C252" s="452"/>
      <c r="D252" s="453"/>
      <c r="E252" s="454" t="s">
        <v>741</v>
      </c>
      <c r="F252" s="261" t="e">
        <f>VLOOKUP($A252,[1]Planilha!$A$18:$BK$553,54,FALSE)</f>
        <v>#N/A</v>
      </c>
      <c r="G252" s="261" t="e">
        <f t="shared" si="175"/>
        <v>#VALUE!</v>
      </c>
      <c r="H252" s="455"/>
      <c r="I252" s="261" t="e">
        <f>VLOOKUP($A252,[1]Planilha!$A$18:$BK$553,62,FALSE)</f>
        <v>#N/A</v>
      </c>
      <c r="J252" s="261" t="e">
        <f t="shared" si="176"/>
        <v>#N/A</v>
      </c>
      <c r="K252" s="460" t="s">
        <v>292</v>
      </c>
      <c r="L252" s="261" t="e">
        <f>VLOOKUP($A252,[1]Planilha!$A$18:$BK$553,52,FALSE)</f>
        <v>#N/A</v>
      </c>
      <c r="M252" s="261" t="e">
        <f t="shared" si="177"/>
        <v>#VALUE!</v>
      </c>
      <c r="N252" s="461"/>
      <c r="O252" s="261" t="e">
        <f>VLOOKUP($A252,[1]Planilha!$A$18:$BK$553,60,FALSE)</f>
        <v>#N/A</v>
      </c>
      <c r="P252" s="261" t="e">
        <f t="shared" si="178"/>
        <v>#N/A</v>
      </c>
      <c r="Q252" s="454" t="s">
        <v>740</v>
      </c>
      <c r="R252" s="261" t="e">
        <f>VLOOKUP($A252,[1]Planilha!$A$18:$BK$553,51,FALSE)</f>
        <v>#N/A</v>
      </c>
      <c r="S252" s="261" t="e">
        <f t="shared" si="179"/>
        <v>#VALUE!</v>
      </c>
      <c r="T252" s="455"/>
      <c r="U252" s="261" t="e">
        <f>VLOOKUP($A252,[1]Planilha!$A$18:$BK$553,59,FALSE)</f>
        <v>#N/A</v>
      </c>
      <c r="V252" s="261" t="e">
        <f t="shared" si="180"/>
        <v>#N/A</v>
      </c>
      <c r="W252" s="454" t="s">
        <v>293</v>
      </c>
      <c r="X252" s="261" t="e">
        <f>VLOOKUP($A252,[1]Planilha!$A$18:$BK$553,50,FALSE)</f>
        <v>#N/A</v>
      </c>
      <c r="Y252" s="261" t="e">
        <f t="shared" si="181"/>
        <v>#VALUE!</v>
      </c>
      <c r="Z252" s="455"/>
      <c r="AA252" s="261" t="e">
        <f>VLOOKUP($A252,[1]Planilha!$A$18:$BK$553,58,FALSE)</f>
        <v>#N/A</v>
      </c>
      <c r="AB252" s="261" t="e">
        <f t="shared" si="182"/>
        <v>#N/A</v>
      </c>
      <c r="AC252" s="454" t="s">
        <v>322</v>
      </c>
      <c r="AD252" s="261" t="e">
        <f>VLOOKUP($A252,[1]Planilha!$A$18:$BK$553,49,FALSE)</f>
        <v>#N/A</v>
      </c>
      <c r="AE252" s="261" t="e">
        <f t="shared" si="183"/>
        <v>#VALUE!</v>
      </c>
      <c r="AF252" s="459"/>
      <c r="AG252" s="261" t="e">
        <f>VLOOKUP($A252,[1]Planilha!$A$18:$BK$553,57,FALSE)</f>
        <v>#N/A</v>
      </c>
      <c r="AH252" s="261" t="e">
        <f t="shared" si="184"/>
        <v>#N/A</v>
      </c>
    </row>
    <row r="253" spans="1:46" s="124" customFormat="1" ht="12.75" customHeight="1">
      <c r="A253" s="449" t="s">
        <v>296</v>
      </c>
      <c r="B253" s="173" t="s">
        <v>13</v>
      </c>
      <c r="C253" s="119" t="s">
        <v>83</v>
      </c>
      <c r="D253" s="101"/>
      <c r="E253" s="108" t="s">
        <v>81</v>
      </c>
      <c r="F253" s="261" t="e">
        <f>VLOOKUP($A253,[1]Planilha!$A$18:$BK$553,54,FALSE)</f>
        <v>#N/A</v>
      </c>
      <c r="G253" s="261" t="e">
        <f t="shared" si="175"/>
        <v>#VALUE!</v>
      </c>
      <c r="H253" s="107" t="s">
        <v>82</v>
      </c>
      <c r="I253" s="261" t="e">
        <f>VLOOKUP($A253,[1]Planilha!$A$18:$BK$553,62,FALSE)</f>
        <v>#N/A</v>
      </c>
      <c r="J253" s="261" t="e">
        <f t="shared" si="176"/>
        <v>#VALUE!</v>
      </c>
      <c r="K253" s="383" t="s">
        <v>81</v>
      </c>
      <c r="L253" s="261" t="e">
        <f>VLOOKUP($A253,[1]Planilha!$A$18:$BK$553,52,FALSE)</f>
        <v>#N/A</v>
      </c>
      <c r="M253" s="261" t="e">
        <f t="shared" si="177"/>
        <v>#VALUE!</v>
      </c>
      <c r="N253" s="384" t="s">
        <v>82</v>
      </c>
      <c r="O253" s="261" t="e">
        <f>VLOOKUP($A253,[1]Planilha!$A$18:$BK$553,60,FALSE)</f>
        <v>#N/A</v>
      </c>
      <c r="P253" s="261" t="e">
        <f t="shared" si="178"/>
        <v>#VALUE!</v>
      </c>
      <c r="Q253" s="108" t="s">
        <v>81</v>
      </c>
      <c r="R253" s="261" t="e">
        <f>VLOOKUP($A253,[1]Planilha!$A$18:$BK$553,51,FALSE)</f>
        <v>#N/A</v>
      </c>
      <c r="S253" s="261" t="e">
        <f t="shared" si="179"/>
        <v>#VALUE!</v>
      </c>
      <c r="T253" s="107" t="s">
        <v>82</v>
      </c>
      <c r="U253" s="261" t="e">
        <f>VLOOKUP($A253,[1]Planilha!$A$18:$BK$553,59,FALSE)</f>
        <v>#N/A</v>
      </c>
      <c r="V253" s="261" t="e">
        <f t="shared" si="180"/>
        <v>#VALUE!</v>
      </c>
      <c r="W253" s="108" t="s">
        <v>81</v>
      </c>
      <c r="X253" s="261" t="e">
        <f>VLOOKUP($A253,[1]Planilha!$A$18:$BK$553,50,FALSE)</f>
        <v>#N/A</v>
      </c>
      <c r="Y253" s="261" t="e">
        <f t="shared" si="181"/>
        <v>#VALUE!</v>
      </c>
      <c r="Z253" s="107" t="s">
        <v>82</v>
      </c>
      <c r="AA253" s="261" t="e">
        <f>VLOOKUP($A253,[1]Planilha!$A$18:$BK$553,58,FALSE)</f>
        <v>#N/A</v>
      </c>
      <c r="AB253" s="261" t="e">
        <f t="shared" si="182"/>
        <v>#VALUE!</v>
      </c>
      <c r="AC253" s="108" t="s">
        <v>81</v>
      </c>
      <c r="AD253" s="261" t="e">
        <f>VLOOKUP($A253,[1]Planilha!$A$18:$BK$553,49,FALSE)</f>
        <v>#N/A</v>
      </c>
      <c r="AE253" s="261" t="e">
        <f t="shared" si="183"/>
        <v>#VALUE!</v>
      </c>
      <c r="AF253" s="109" t="s">
        <v>82</v>
      </c>
      <c r="AG253" s="261" t="e">
        <f>VLOOKUP($A253,[1]Planilha!$A$18:$BK$553,57,FALSE)</f>
        <v>#N/A</v>
      </c>
      <c r="AH253" s="261" t="e">
        <f t="shared" si="184"/>
        <v>#VALUE!</v>
      </c>
    </row>
    <row r="254" spans="1:46" s="124" customFormat="1" ht="13.5" customHeight="1" thickBot="1">
      <c r="A254" s="695"/>
      <c r="B254" s="174" t="s">
        <v>14</v>
      </c>
      <c r="C254" s="156" t="s">
        <v>379</v>
      </c>
      <c r="D254" s="157" t="s">
        <v>84</v>
      </c>
      <c r="E254" s="158" t="s">
        <v>85</v>
      </c>
      <c r="F254" s="261" t="e">
        <f>VLOOKUP($A254,[1]Planilha!$A$18:$BK$553,54,FALSE)</f>
        <v>#N/A</v>
      </c>
      <c r="G254" s="261" t="e">
        <f t="shared" si="175"/>
        <v>#VALUE!</v>
      </c>
      <c r="H254" s="159" t="s">
        <v>297</v>
      </c>
      <c r="I254" s="261" t="e">
        <f>VLOOKUP($A254,[1]Planilha!$A$18:$BK$553,62,FALSE)</f>
        <v>#N/A</v>
      </c>
      <c r="J254" s="261" t="e">
        <f t="shared" si="176"/>
        <v>#VALUE!</v>
      </c>
      <c r="K254" s="385" t="s">
        <v>85</v>
      </c>
      <c r="L254" s="261" t="e">
        <f>VLOOKUP($A254,[1]Planilha!$A$18:$BK$553,52,FALSE)</f>
        <v>#N/A</v>
      </c>
      <c r="M254" s="261" t="e">
        <f t="shared" si="177"/>
        <v>#VALUE!</v>
      </c>
      <c r="N254" s="386" t="s">
        <v>297</v>
      </c>
      <c r="O254" s="261" t="e">
        <f>VLOOKUP($A254,[1]Planilha!$A$18:$BK$553,60,FALSE)</f>
        <v>#N/A</v>
      </c>
      <c r="P254" s="261" t="e">
        <f t="shared" si="178"/>
        <v>#VALUE!</v>
      </c>
      <c r="Q254" s="158" t="s">
        <v>85</v>
      </c>
      <c r="R254" s="261" t="e">
        <f>VLOOKUP($A254,[1]Planilha!$A$18:$BK$553,51,FALSE)</f>
        <v>#N/A</v>
      </c>
      <c r="S254" s="261" t="e">
        <f t="shared" si="179"/>
        <v>#VALUE!</v>
      </c>
      <c r="T254" s="159" t="s">
        <v>297</v>
      </c>
      <c r="U254" s="261" t="e">
        <f>VLOOKUP($A254,[1]Planilha!$A$18:$BK$553,59,FALSE)</f>
        <v>#N/A</v>
      </c>
      <c r="V254" s="261" t="e">
        <f t="shared" si="180"/>
        <v>#VALUE!</v>
      </c>
      <c r="W254" s="158" t="s">
        <v>85</v>
      </c>
      <c r="X254" s="261" t="e">
        <f>VLOOKUP($A254,[1]Planilha!$A$18:$BK$553,50,FALSE)</f>
        <v>#N/A</v>
      </c>
      <c r="Y254" s="261" t="e">
        <f t="shared" si="181"/>
        <v>#VALUE!</v>
      </c>
      <c r="Z254" s="159" t="s">
        <v>297</v>
      </c>
      <c r="AA254" s="261" t="e">
        <f>VLOOKUP($A254,[1]Planilha!$A$18:$BK$553,58,FALSE)</f>
        <v>#N/A</v>
      </c>
      <c r="AB254" s="261" t="e">
        <f t="shared" si="182"/>
        <v>#VALUE!</v>
      </c>
      <c r="AC254" s="158" t="s">
        <v>85</v>
      </c>
      <c r="AD254" s="261" t="e">
        <f>VLOOKUP($A254,[1]Planilha!$A$18:$BK$553,49,FALSE)</f>
        <v>#N/A</v>
      </c>
      <c r="AE254" s="261" t="e">
        <f t="shared" si="183"/>
        <v>#VALUE!</v>
      </c>
      <c r="AF254" s="162" t="s">
        <v>297</v>
      </c>
      <c r="AG254" s="261" t="e">
        <f>VLOOKUP($A254,[1]Planilha!$A$18:$BK$553,57,FALSE)</f>
        <v>#N/A</v>
      </c>
      <c r="AH254" s="261" t="e">
        <f t="shared" si="184"/>
        <v>#VALUE!</v>
      </c>
    </row>
    <row r="255" spans="1:46" s="124" customFormat="1" ht="15">
      <c r="A255" s="414"/>
      <c r="B255" s="105" t="s">
        <v>480</v>
      </c>
      <c r="C255" s="105"/>
      <c r="D255" s="106"/>
      <c r="E255" s="286"/>
      <c r="F255" s="261" t="e">
        <f>VLOOKUP($A255,[1]Planilha!$A$18:$BK$553,54,FALSE)</f>
        <v>#N/A</v>
      </c>
      <c r="G255" s="261" t="e">
        <f t="shared" si="175"/>
        <v>#N/A</v>
      </c>
      <c r="H255" s="287"/>
      <c r="I255" s="261" t="e">
        <f>VLOOKUP($A255,[1]Planilha!$A$18:$BK$553,62,FALSE)</f>
        <v>#N/A</v>
      </c>
      <c r="J255" s="261" t="e">
        <f t="shared" si="176"/>
        <v>#N/A</v>
      </c>
      <c r="K255" s="387"/>
      <c r="L255" s="261" t="e">
        <f>VLOOKUP($A255,[1]Planilha!$A$18:$BK$553,52,FALSE)</f>
        <v>#N/A</v>
      </c>
      <c r="M255" s="261" t="e">
        <f t="shared" si="177"/>
        <v>#N/A</v>
      </c>
      <c r="N255" s="388"/>
      <c r="O255" s="261" t="e">
        <f>VLOOKUP($A255,[1]Planilha!$A$18:$BK$553,60,FALSE)</f>
        <v>#N/A</v>
      </c>
      <c r="P255" s="261" t="e">
        <f t="shared" si="178"/>
        <v>#N/A</v>
      </c>
      <c r="Q255" s="286"/>
      <c r="R255" s="261" t="e">
        <f>VLOOKUP($A255,[1]Planilha!$A$18:$BK$553,51,FALSE)</f>
        <v>#N/A</v>
      </c>
      <c r="S255" s="261" t="e">
        <f t="shared" si="179"/>
        <v>#N/A</v>
      </c>
      <c r="T255" s="287"/>
      <c r="U255" s="261" t="e">
        <f>VLOOKUP($A255,[1]Planilha!$A$18:$BK$553,59,FALSE)</f>
        <v>#N/A</v>
      </c>
      <c r="V255" s="261" t="e">
        <f t="shared" si="180"/>
        <v>#N/A</v>
      </c>
      <c r="W255" s="286"/>
      <c r="X255" s="261" t="e">
        <f>VLOOKUP($A255,[1]Planilha!$A$18:$BK$553,50,FALSE)</f>
        <v>#N/A</v>
      </c>
      <c r="Y255" s="261" t="e">
        <f t="shared" si="181"/>
        <v>#N/A</v>
      </c>
      <c r="Z255" s="287"/>
      <c r="AA255" s="261" t="e">
        <f>VLOOKUP($A255,[1]Planilha!$A$18:$BK$553,58,FALSE)</f>
        <v>#N/A</v>
      </c>
      <c r="AB255" s="261" t="e">
        <f t="shared" si="182"/>
        <v>#N/A</v>
      </c>
      <c r="AC255" s="286"/>
      <c r="AD255" s="261" t="e">
        <f>VLOOKUP($A255,[1]Planilha!$A$18:$BK$553,49,FALSE)</f>
        <v>#N/A</v>
      </c>
      <c r="AE255" s="261" t="e">
        <f t="shared" si="183"/>
        <v>#N/A</v>
      </c>
      <c r="AF255" s="288"/>
      <c r="AG255" s="261" t="e">
        <f>VLOOKUP($A255,[1]Planilha!$A$18:$BK$553,57,FALSE)</f>
        <v>#N/A</v>
      </c>
      <c r="AH255" s="261" t="e">
        <f t="shared" si="184"/>
        <v>#N/A</v>
      </c>
    </row>
    <row r="256" spans="1:46" s="124" customFormat="1">
      <c r="A256" s="232">
        <v>7891721022548</v>
      </c>
      <c r="B256" s="126">
        <v>1008903690013</v>
      </c>
      <c r="C256" s="121" t="s">
        <v>467</v>
      </c>
      <c r="D256" s="214" t="s">
        <v>610</v>
      </c>
      <c r="E256" s="282">
        <f>ROUND(K256*1.025,2)</f>
        <v>223.9</v>
      </c>
      <c r="F256" s="261">
        <f>VLOOKUP($A256,[1]Planilha!$A$18:$BK$553,54,FALSE)</f>
        <v>221.14</v>
      </c>
      <c r="G256" s="261">
        <f t="shared" si="175"/>
        <v>2.7600000000000193</v>
      </c>
      <c r="H256" s="282">
        <f>ROUND(E256/0.723358,2)</f>
        <v>309.52999999999997</v>
      </c>
      <c r="I256" s="261">
        <f>VLOOKUP($A256,[1]Planilha!$A$18:$BK$553,62,FALSE)</f>
        <v>309.52999999999997</v>
      </c>
      <c r="J256" s="261">
        <f t="shared" si="176"/>
        <v>0</v>
      </c>
      <c r="K256" s="389">
        <f>VLOOKUP(A256,[2]Plan1!$H$2:$J$279,3,FALSE)</f>
        <v>218.44093599999999</v>
      </c>
      <c r="L256" s="261">
        <f>VLOOKUP($A256,[1]Planilha!$A$18:$BK$553,52,FALSE)</f>
        <v>218.44</v>
      </c>
      <c r="M256" s="261">
        <f t="shared" si="177"/>
        <v>9.3599999999582906E-4</v>
      </c>
      <c r="N256" s="389">
        <f>ROUND(K256/0.723358,2)</f>
        <v>301.98</v>
      </c>
      <c r="O256" s="261">
        <f>VLOOKUP($A256,[1]Planilha!$A$18:$BK$553,60,FALSE)</f>
        <v>301.98</v>
      </c>
      <c r="P256" s="261">
        <f t="shared" si="178"/>
        <v>0</v>
      </c>
      <c r="Q256" s="282">
        <f>ROUND(K256*0.993939,2)</f>
        <v>217.12</v>
      </c>
      <c r="R256" s="261">
        <f>VLOOKUP($A256,[1]Planilha!$A$18:$BK$553,51,FALSE)</f>
        <v>217.12</v>
      </c>
      <c r="S256" s="261">
        <f t="shared" si="179"/>
        <v>0</v>
      </c>
      <c r="T256" s="282">
        <f>ROUND(Q256/0.723358,2)</f>
        <v>300.16000000000003</v>
      </c>
      <c r="U256" s="261">
        <f>VLOOKUP($A256,[1]Planilha!$A$18:$BK$553,59,FALSE)</f>
        <v>300.16000000000003</v>
      </c>
      <c r="V256" s="261">
        <f t="shared" si="180"/>
        <v>0</v>
      </c>
      <c r="W256" s="282">
        <f>ROUND(K256*0.987952,2)</f>
        <v>215.81</v>
      </c>
      <c r="X256" s="261">
        <f>VLOOKUP($A256,[1]Planilha!$A$18:$BK$553,50,FALSE)</f>
        <v>215.81</v>
      </c>
      <c r="Y256" s="261">
        <f t="shared" si="181"/>
        <v>0</v>
      </c>
      <c r="Z256" s="282">
        <f t="shared" ref="Z256" si="226">ROUND(W256/0.723358,2)</f>
        <v>298.33999999999997</v>
      </c>
      <c r="AA256" s="261">
        <f>VLOOKUP($A256,[1]Planilha!$A$18:$BK$553,58,FALSE)</f>
        <v>298.33999999999997</v>
      </c>
      <c r="AB256" s="261">
        <f t="shared" si="182"/>
        <v>0</v>
      </c>
      <c r="AC256" s="282">
        <f>ROUND(K256*0.931818,2)</f>
        <v>203.55</v>
      </c>
      <c r="AD256" s="261">
        <f>VLOOKUP($A256,[1]Planilha!$A$18:$BK$553,49,FALSE)</f>
        <v>203.55</v>
      </c>
      <c r="AE256" s="261">
        <f t="shared" si="183"/>
        <v>0</v>
      </c>
      <c r="AF256" s="283">
        <f t="shared" ref="AF256" si="227">ROUND(AC256/0.723358,2)</f>
        <v>281.39999999999998</v>
      </c>
      <c r="AG256" s="261">
        <f>VLOOKUP($A256,[1]Planilha!$A$18:$BK$553,57,FALSE)</f>
        <v>281.39999999999998</v>
      </c>
      <c r="AH256" s="261">
        <f t="shared" si="184"/>
        <v>0</v>
      </c>
    </row>
    <row r="257" spans="1:34" s="124" customFormat="1" ht="15">
      <c r="A257" s="414"/>
      <c r="B257" s="415" t="s">
        <v>481</v>
      </c>
      <c r="C257" s="415"/>
      <c r="D257" s="416"/>
      <c r="E257" s="417"/>
      <c r="F257" s="261" t="e">
        <f>VLOOKUP($A257,[1]Planilha!$A$18:$BK$553,54,FALSE)</f>
        <v>#N/A</v>
      </c>
      <c r="G257" s="261" t="e">
        <f t="shared" si="175"/>
        <v>#N/A</v>
      </c>
      <c r="H257" s="418"/>
      <c r="I257" s="261" t="e">
        <f>VLOOKUP($A257,[1]Planilha!$A$18:$BK$553,62,FALSE)</f>
        <v>#N/A</v>
      </c>
      <c r="J257" s="261" t="e">
        <f t="shared" si="176"/>
        <v>#N/A</v>
      </c>
      <c r="K257" s="412"/>
      <c r="L257" s="261" t="e">
        <f>VLOOKUP($A257,[1]Planilha!$A$18:$BK$553,52,FALSE)</f>
        <v>#N/A</v>
      </c>
      <c r="M257" s="261" t="e">
        <f t="shared" si="177"/>
        <v>#N/A</v>
      </c>
      <c r="N257" s="419"/>
      <c r="O257" s="261" t="e">
        <f>VLOOKUP($A257,[1]Planilha!$A$18:$BK$553,60,FALSE)</f>
        <v>#N/A</v>
      </c>
      <c r="P257" s="261" t="e">
        <f t="shared" si="178"/>
        <v>#N/A</v>
      </c>
      <c r="Q257" s="417"/>
      <c r="R257" s="261" t="e">
        <f>VLOOKUP($A257,[1]Planilha!$A$18:$BK$553,51,FALSE)</f>
        <v>#N/A</v>
      </c>
      <c r="S257" s="261" t="e">
        <f t="shared" si="179"/>
        <v>#N/A</v>
      </c>
      <c r="T257" s="418"/>
      <c r="U257" s="261" t="e">
        <f>VLOOKUP($A257,[1]Planilha!$A$18:$BK$553,59,FALSE)</f>
        <v>#N/A</v>
      </c>
      <c r="V257" s="261" t="e">
        <f t="shared" si="180"/>
        <v>#N/A</v>
      </c>
      <c r="W257" s="417"/>
      <c r="X257" s="261" t="e">
        <f>VLOOKUP($A257,[1]Planilha!$A$18:$BK$553,50,FALSE)</f>
        <v>#N/A</v>
      </c>
      <c r="Y257" s="261" t="e">
        <f t="shared" si="181"/>
        <v>#N/A</v>
      </c>
      <c r="Z257" s="418"/>
      <c r="AA257" s="261" t="e">
        <f>VLOOKUP($A257,[1]Planilha!$A$18:$BK$553,58,FALSE)</f>
        <v>#N/A</v>
      </c>
      <c r="AB257" s="261" t="e">
        <f t="shared" si="182"/>
        <v>#N/A</v>
      </c>
      <c r="AC257" s="417"/>
      <c r="AD257" s="261" t="e">
        <f>VLOOKUP($A257,[1]Planilha!$A$18:$BK$553,49,FALSE)</f>
        <v>#N/A</v>
      </c>
      <c r="AE257" s="261" t="e">
        <f t="shared" si="183"/>
        <v>#N/A</v>
      </c>
      <c r="AF257" s="420"/>
      <c r="AG257" s="261" t="e">
        <f>VLOOKUP($A257,[1]Planilha!$A$18:$BK$553,57,FALSE)</f>
        <v>#N/A</v>
      </c>
      <c r="AH257" s="261" t="e">
        <f t="shared" si="184"/>
        <v>#N/A</v>
      </c>
    </row>
    <row r="258" spans="1:34" s="124" customFormat="1">
      <c r="A258" s="232">
        <v>7898106035643</v>
      </c>
      <c r="B258" s="126">
        <v>1008903650021</v>
      </c>
      <c r="C258" s="126" t="s">
        <v>468</v>
      </c>
      <c r="D258" s="215" t="s">
        <v>607</v>
      </c>
      <c r="E258" s="411">
        <f t="shared" ref="E258:E259" si="228">ROUND(K258*1.025,2)</f>
        <v>238.78</v>
      </c>
      <c r="F258" s="496">
        <f>VLOOKUP($A258,[1]Planilha!$A$18:$BK$553,54,FALSE)</f>
        <v>235.83</v>
      </c>
      <c r="G258" s="496">
        <f t="shared" si="175"/>
        <v>2.9499999999999886</v>
      </c>
      <c r="H258" s="411">
        <f t="shared" ref="H258:H259" si="229">ROUND(E258/0.723358,2)</f>
        <v>330.1</v>
      </c>
      <c r="I258" s="496">
        <f>VLOOKUP($A258,[1]Planilha!$A$18:$BK$553,62,FALSE)</f>
        <v>330.1</v>
      </c>
      <c r="J258" s="496">
        <f t="shared" si="176"/>
        <v>0</v>
      </c>
      <c r="K258" s="412">
        <v>232.95568800000004</v>
      </c>
      <c r="L258" s="496">
        <f>VLOOKUP($A258,[1]Planilha!$A$18:$BK$553,52,FALSE)</f>
        <v>232.96</v>
      </c>
      <c r="M258" s="496">
        <f t="shared" si="177"/>
        <v>-4.3119999999703396E-3</v>
      </c>
      <c r="N258" s="412">
        <f>ROUND(K258/0.723358,2)</f>
        <v>322.05</v>
      </c>
      <c r="O258" s="496">
        <f>VLOOKUP($A258,[1]Planilha!$A$18:$BK$553,60,FALSE)</f>
        <v>322.05</v>
      </c>
      <c r="P258" s="496">
        <f t="shared" si="178"/>
        <v>0</v>
      </c>
      <c r="Q258" s="411">
        <f t="shared" ref="Q258:Q280" si="230">ROUND(K258*0.993939,2)</f>
        <v>231.54</v>
      </c>
      <c r="R258" s="496">
        <f>VLOOKUP($A258,[1]Planilha!$A$18:$BK$553,51,FALSE)</f>
        <v>231.54</v>
      </c>
      <c r="S258" s="496">
        <f t="shared" si="179"/>
        <v>0</v>
      </c>
      <c r="T258" s="411">
        <f t="shared" ref="T258:T280" si="231">ROUND(Q258/0.723358,2)</f>
        <v>320.08999999999997</v>
      </c>
      <c r="U258" s="496">
        <f>VLOOKUP($A258,[1]Planilha!$A$18:$BK$553,59,FALSE)</f>
        <v>320.08999999999997</v>
      </c>
      <c r="V258" s="496">
        <f t="shared" si="180"/>
        <v>0</v>
      </c>
      <c r="W258" s="411">
        <f t="shared" ref="W258:W282" si="232">ROUND(K258*0.987952,2)</f>
        <v>230.15</v>
      </c>
      <c r="X258" s="496">
        <f>VLOOKUP($A258,[1]Planilha!$A$18:$BK$553,50,FALSE)</f>
        <v>230.15</v>
      </c>
      <c r="Y258" s="496">
        <f t="shared" si="181"/>
        <v>0</v>
      </c>
      <c r="Z258" s="411">
        <f t="shared" ref="Z258:Z280" si="233">ROUND(W258/0.723358,2)</f>
        <v>318.17</v>
      </c>
      <c r="AA258" s="496">
        <f>VLOOKUP($A258,[1]Planilha!$A$18:$BK$553,58,FALSE)</f>
        <v>318.17</v>
      </c>
      <c r="AB258" s="496">
        <f t="shared" si="182"/>
        <v>0</v>
      </c>
      <c r="AC258" s="411">
        <f t="shared" ref="AC258:AC282" si="234">ROUND(K258*0.931818,2)</f>
        <v>217.07</v>
      </c>
      <c r="AD258" s="496">
        <f>VLOOKUP($A258,[1]Planilha!$A$18:$BK$553,49,FALSE)</f>
        <v>217.07</v>
      </c>
      <c r="AE258" s="496">
        <f t="shared" si="183"/>
        <v>0</v>
      </c>
      <c r="AF258" s="413">
        <f t="shared" ref="AF258:AF280" si="235">ROUND(AC258/0.723358,2)</f>
        <v>300.08999999999997</v>
      </c>
      <c r="AG258" s="496">
        <f>VLOOKUP($A258,[1]Planilha!$A$18:$BK$553,57,FALSE)</f>
        <v>300.08999999999997</v>
      </c>
      <c r="AH258" s="496">
        <f t="shared" si="184"/>
        <v>0</v>
      </c>
    </row>
    <row r="259" spans="1:34" s="124" customFormat="1">
      <c r="A259" s="232">
        <v>7898106035650</v>
      </c>
      <c r="B259" s="126">
        <v>1008903650011</v>
      </c>
      <c r="C259" s="126" t="s">
        <v>469</v>
      </c>
      <c r="D259" s="125" t="s">
        <v>608</v>
      </c>
      <c r="E259" s="421">
        <f t="shared" si="228"/>
        <v>433.17</v>
      </c>
      <c r="F259" s="496">
        <f>VLOOKUP($A259,[1]Planilha!$A$18:$BK$553,54,FALSE)</f>
        <v>427.82</v>
      </c>
      <c r="G259" s="496">
        <f t="shared" si="175"/>
        <v>5.3500000000000227</v>
      </c>
      <c r="H259" s="421">
        <f t="shared" si="229"/>
        <v>598.83000000000004</v>
      </c>
      <c r="I259" s="496">
        <f>VLOOKUP($A259,[1]Planilha!$A$18:$BK$553,62,FALSE)</f>
        <v>598.83000000000004</v>
      </c>
      <c r="J259" s="496">
        <f t="shared" si="176"/>
        <v>0</v>
      </c>
      <c r="K259" s="412">
        <v>422.60024800000002</v>
      </c>
      <c r="L259" s="496">
        <f>VLOOKUP($A259,[1]Planilha!$A$18:$BK$553,52,FALSE)</f>
        <v>422.6</v>
      </c>
      <c r="M259" s="496">
        <f t="shared" si="177"/>
        <v>2.479999999991378E-4</v>
      </c>
      <c r="N259" s="422">
        <f t="shared" ref="N259" si="236">ROUND(K259/0.723358,2)</f>
        <v>584.22</v>
      </c>
      <c r="O259" s="496">
        <f>VLOOKUP($A259,[1]Planilha!$A$18:$BK$553,60,FALSE)</f>
        <v>584.22</v>
      </c>
      <c r="P259" s="496">
        <f t="shared" si="178"/>
        <v>0</v>
      </c>
      <c r="Q259" s="421">
        <f t="shared" si="230"/>
        <v>420.04</v>
      </c>
      <c r="R259" s="496">
        <f>VLOOKUP($A259,[1]Planilha!$A$18:$BK$553,51,FALSE)</f>
        <v>420.04</v>
      </c>
      <c r="S259" s="496">
        <f t="shared" si="179"/>
        <v>0</v>
      </c>
      <c r="T259" s="421">
        <f t="shared" si="231"/>
        <v>580.67999999999995</v>
      </c>
      <c r="U259" s="496">
        <f>VLOOKUP($A259,[1]Planilha!$A$18:$BK$553,59,FALSE)</f>
        <v>580.67999999999995</v>
      </c>
      <c r="V259" s="496">
        <f t="shared" si="180"/>
        <v>0</v>
      </c>
      <c r="W259" s="421">
        <f t="shared" si="232"/>
        <v>417.51</v>
      </c>
      <c r="X259" s="496">
        <f>VLOOKUP($A259,[1]Planilha!$A$18:$BK$553,50,FALSE)</f>
        <v>417.51</v>
      </c>
      <c r="Y259" s="496">
        <f t="shared" si="181"/>
        <v>0</v>
      </c>
      <c r="Z259" s="421">
        <f t="shared" si="233"/>
        <v>577.17999999999995</v>
      </c>
      <c r="AA259" s="496">
        <f>VLOOKUP($A259,[1]Planilha!$A$18:$BK$553,58,FALSE)</f>
        <v>577.17999999999995</v>
      </c>
      <c r="AB259" s="496">
        <f t="shared" si="182"/>
        <v>0</v>
      </c>
      <c r="AC259" s="421">
        <f t="shared" si="234"/>
        <v>393.79</v>
      </c>
      <c r="AD259" s="496">
        <f>VLOOKUP($A259,[1]Planilha!$A$18:$BK$553,49,FALSE)</f>
        <v>393.79</v>
      </c>
      <c r="AE259" s="496">
        <f t="shared" si="183"/>
        <v>0</v>
      </c>
      <c r="AF259" s="423">
        <f t="shared" si="235"/>
        <v>544.39</v>
      </c>
      <c r="AG259" s="496">
        <f>VLOOKUP($A259,[1]Planilha!$A$18:$BK$553,57,FALSE)</f>
        <v>544.39</v>
      </c>
      <c r="AH259" s="496">
        <f t="shared" si="184"/>
        <v>0</v>
      </c>
    </row>
    <row r="260" spans="1:34" s="124" customFormat="1" ht="15">
      <c r="A260" s="414"/>
      <c r="B260" s="339" t="s">
        <v>576</v>
      </c>
      <c r="C260" s="105"/>
      <c r="D260" s="106"/>
      <c r="E260" s="417"/>
      <c r="F260" s="496" t="e">
        <f>VLOOKUP($A260,[1]Planilha!$A$18:$BK$553,54,FALSE)</f>
        <v>#N/A</v>
      </c>
      <c r="G260" s="496" t="e">
        <f t="shared" si="175"/>
        <v>#N/A</v>
      </c>
      <c r="H260" s="418"/>
      <c r="I260" s="496" t="e">
        <f>VLOOKUP($A260,[1]Planilha!$A$18:$BK$553,62,FALSE)</f>
        <v>#N/A</v>
      </c>
      <c r="J260" s="496" t="e">
        <f t="shared" si="176"/>
        <v>#N/A</v>
      </c>
      <c r="K260" s="412"/>
      <c r="L260" s="496" t="e">
        <f>VLOOKUP($A260,[1]Planilha!$A$18:$BK$553,52,FALSE)</f>
        <v>#N/A</v>
      </c>
      <c r="M260" s="496" t="e">
        <f t="shared" si="177"/>
        <v>#N/A</v>
      </c>
      <c r="N260" s="419"/>
      <c r="O260" s="496" t="e">
        <f>VLOOKUP($A260,[1]Planilha!$A$18:$BK$553,60,FALSE)</f>
        <v>#N/A</v>
      </c>
      <c r="P260" s="496" t="e">
        <f t="shared" si="178"/>
        <v>#N/A</v>
      </c>
      <c r="Q260" s="417"/>
      <c r="R260" s="496" t="e">
        <f>VLOOKUP($A260,[1]Planilha!$A$18:$BK$553,51,FALSE)</f>
        <v>#N/A</v>
      </c>
      <c r="S260" s="496" t="e">
        <f t="shared" si="179"/>
        <v>#N/A</v>
      </c>
      <c r="T260" s="418"/>
      <c r="U260" s="496" t="e">
        <f>VLOOKUP($A260,[1]Planilha!$A$18:$BK$553,59,FALSE)</f>
        <v>#N/A</v>
      </c>
      <c r="V260" s="496" t="e">
        <f t="shared" si="180"/>
        <v>#N/A</v>
      </c>
      <c r="W260" s="417"/>
      <c r="X260" s="496" t="e">
        <f>VLOOKUP($A260,[1]Planilha!$A$18:$BK$553,50,FALSE)</f>
        <v>#N/A</v>
      </c>
      <c r="Y260" s="496" t="e">
        <f t="shared" si="181"/>
        <v>#N/A</v>
      </c>
      <c r="Z260" s="418"/>
      <c r="AA260" s="496" t="e">
        <f>VLOOKUP($A260,[1]Planilha!$A$18:$BK$553,58,FALSE)</f>
        <v>#N/A</v>
      </c>
      <c r="AB260" s="496" t="e">
        <f t="shared" si="182"/>
        <v>#N/A</v>
      </c>
      <c r="AC260" s="417"/>
      <c r="AD260" s="496" t="e">
        <f>VLOOKUP($A260,[1]Planilha!$A$18:$BK$553,49,FALSE)</f>
        <v>#N/A</v>
      </c>
      <c r="AE260" s="496" t="e">
        <f t="shared" si="183"/>
        <v>#N/A</v>
      </c>
      <c r="AF260" s="420"/>
      <c r="AG260" s="496" t="e">
        <f>VLOOKUP($A260,[1]Planilha!$A$18:$BK$553,57,FALSE)</f>
        <v>#N/A</v>
      </c>
      <c r="AH260" s="496" t="e">
        <f t="shared" si="184"/>
        <v>#N/A</v>
      </c>
    </row>
    <row r="261" spans="1:34" s="124" customFormat="1">
      <c r="A261" s="232">
        <v>7898106031973</v>
      </c>
      <c r="B261" s="126">
        <v>1008903630010</v>
      </c>
      <c r="C261" s="126" t="s">
        <v>470</v>
      </c>
      <c r="D261" s="125" t="s">
        <v>471</v>
      </c>
      <c r="E261" s="411">
        <f t="shared" ref="E261:E264" si="237">ROUND(K261*1.025,2)</f>
        <v>179.5</v>
      </c>
      <c r="F261" s="496">
        <f>VLOOKUP($A261,[1]Planilha!$A$18:$BK$553,54,FALSE)</f>
        <v>177.28</v>
      </c>
      <c r="G261" s="496">
        <f t="shared" si="175"/>
        <v>2.2199999999999989</v>
      </c>
      <c r="H261" s="411">
        <f t="shared" ref="H261:H264" si="238">ROUND(E261/0.723358,2)</f>
        <v>248.15</v>
      </c>
      <c r="I261" s="496">
        <f>VLOOKUP($A261,[1]Planilha!$A$18:$BK$553,62,FALSE)</f>
        <v>248.15</v>
      </c>
      <c r="J261" s="496">
        <f t="shared" si="176"/>
        <v>0</v>
      </c>
      <c r="K261" s="412">
        <v>175.11967200000001</v>
      </c>
      <c r="L261" s="496">
        <f>VLOOKUP($A261,[1]Planilha!$A$18:$BK$553,52,FALSE)</f>
        <v>175.12</v>
      </c>
      <c r="M261" s="496">
        <f t="shared" si="177"/>
        <v>-3.2799999999610918E-4</v>
      </c>
      <c r="N261" s="412">
        <f t="shared" ref="N261:N264" si="239">ROUND(K261/0.723358,2)</f>
        <v>242.09</v>
      </c>
      <c r="O261" s="496">
        <f>VLOOKUP($A261,[1]Planilha!$A$18:$BK$553,60,FALSE)</f>
        <v>242.09</v>
      </c>
      <c r="P261" s="496">
        <f t="shared" si="178"/>
        <v>0</v>
      </c>
      <c r="Q261" s="411">
        <f t="shared" si="230"/>
        <v>174.06</v>
      </c>
      <c r="R261" s="496">
        <f>VLOOKUP($A261,[1]Planilha!$A$18:$BK$553,51,FALSE)</f>
        <v>174.06</v>
      </c>
      <c r="S261" s="496">
        <f t="shared" si="179"/>
        <v>0</v>
      </c>
      <c r="T261" s="411">
        <f t="shared" si="231"/>
        <v>240.63</v>
      </c>
      <c r="U261" s="496">
        <f>VLOOKUP($A261,[1]Planilha!$A$18:$BK$553,59,FALSE)</f>
        <v>240.63</v>
      </c>
      <c r="V261" s="496">
        <f t="shared" si="180"/>
        <v>0</v>
      </c>
      <c r="W261" s="411">
        <f t="shared" si="232"/>
        <v>173.01</v>
      </c>
      <c r="X261" s="496">
        <f>VLOOKUP($A261,[1]Planilha!$A$18:$BK$553,50,FALSE)</f>
        <v>173.01</v>
      </c>
      <c r="Y261" s="496">
        <f t="shared" si="181"/>
        <v>0</v>
      </c>
      <c r="Z261" s="411">
        <f t="shared" si="233"/>
        <v>239.18</v>
      </c>
      <c r="AA261" s="496">
        <f>VLOOKUP($A261,[1]Planilha!$A$18:$BK$553,58,FALSE)</f>
        <v>239.18</v>
      </c>
      <c r="AB261" s="496">
        <f t="shared" si="182"/>
        <v>0</v>
      </c>
      <c r="AC261" s="411">
        <f t="shared" si="234"/>
        <v>163.18</v>
      </c>
      <c r="AD261" s="496">
        <f>VLOOKUP($A261,[1]Planilha!$A$18:$BK$553,49,FALSE)</f>
        <v>163.18</v>
      </c>
      <c r="AE261" s="496">
        <f t="shared" si="183"/>
        <v>0</v>
      </c>
      <c r="AF261" s="413">
        <f t="shared" si="235"/>
        <v>225.59</v>
      </c>
      <c r="AG261" s="496">
        <f>VLOOKUP($A261,[1]Planilha!$A$18:$BK$553,57,FALSE)</f>
        <v>225.59</v>
      </c>
      <c r="AH261" s="496">
        <f t="shared" si="184"/>
        <v>0</v>
      </c>
    </row>
    <row r="262" spans="1:34" s="124" customFormat="1">
      <c r="A262" s="232">
        <v>7891721027802</v>
      </c>
      <c r="B262" s="351">
        <v>1008903630096</v>
      </c>
      <c r="C262" s="121" t="s">
        <v>773</v>
      </c>
      <c r="D262" s="92" t="s">
        <v>675</v>
      </c>
      <c r="E262" s="284">
        <f t="shared" si="237"/>
        <v>717.99</v>
      </c>
      <c r="F262" s="261">
        <f>VLOOKUP($A262,[1]Planilha!$A$18:$BK$553,54,FALSE)</f>
        <v>709.13</v>
      </c>
      <c r="G262" s="261">
        <f t="shared" si="175"/>
        <v>8.8600000000000136</v>
      </c>
      <c r="H262" s="284">
        <f t="shared" si="238"/>
        <v>992.58</v>
      </c>
      <c r="I262" s="261">
        <f>VLOOKUP($A262,[1]Planilha!$A$18:$BK$553,62,FALSE)</f>
        <v>992.58</v>
      </c>
      <c r="J262" s="261">
        <f t="shared" si="176"/>
        <v>0</v>
      </c>
      <c r="K262" s="389">
        <f>VLOOKUP(A262,[2]Plan1!$H$2:$J$279,3,FALSE)</f>
        <v>700.47868800000003</v>
      </c>
      <c r="L262" s="261">
        <f>VLOOKUP($A262,[1]Planilha!$A$18:$BK$553,52,FALSE)</f>
        <v>700.48</v>
      </c>
      <c r="M262" s="261">
        <f t="shared" si="177"/>
        <v>-1.3119999999844367E-3</v>
      </c>
      <c r="N262" s="391">
        <f>ROUND(K262/0.723358,2)</f>
        <v>968.37</v>
      </c>
      <c r="O262" s="261">
        <f>VLOOKUP($A262,[1]Planilha!$A$18:$BK$553,60,FALSE)</f>
        <v>968.37</v>
      </c>
      <c r="P262" s="261">
        <f t="shared" si="178"/>
        <v>0</v>
      </c>
      <c r="Q262" s="284">
        <f t="shared" si="230"/>
        <v>696.23</v>
      </c>
      <c r="R262" s="261">
        <f>VLOOKUP($A262,[1]Planilha!$A$18:$BK$553,51,FALSE)</f>
        <v>696.23</v>
      </c>
      <c r="S262" s="261">
        <f t="shared" si="179"/>
        <v>0</v>
      </c>
      <c r="T262" s="284">
        <f t="shared" si="231"/>
        <v>962.5</v>
      </c>
      <c r="U262" s="261">
        <f>VLOOKUP($A262,[1]Planilha!$A$18:$BK$553,59,FALSE)</f>
        <v>962.5</v>
      </c>
      <c r="V262" s="261">
        <f t="shared" si="180"/>
        <v>0</v>
      </c>
      <c r="W262" s="284">
        <f t="shared" si="232"/>
        <v>692.04</v>
      </c>
      <c r="X262" s="261">
        <f>VLOOKUP($A262,[1]Planilha!$A$18:$BK$553,50,FALSE)</f>
        <v>692.04</v>
      </c>
      <c r="Y262" s="261">
        <f t="shared" si="181"/>
        <v>0</v>
      </c>
      <c r="Z262" s="284">
        <f t="shared" si="233"/>
        <v>956.7</v>
      </c>
      <c r="AA262" s="261">
        <f>VLOOKUP($A262,[1]Planilha!$A$18:$BK$553,58,FALSE)</f>
        <v>956.7</v>
      </c>
      <c r="AB262" s="261">
        <f t="shared" si="182"/>
        <v>0</v>
      </c>
      <c r="AC262" s="284">
        <f t="shared" si="234"/>
        <v>652.72</v>
      </c>
      <c r="AD262" s="261">
        <f>VLOOKUP($A262,[1]Planilha!$A$18:$BK$553,49,FALSE)</f>
        <v>652.72</v>
      </c>
      <c r="AE262" s="261">
        <f t="shared" si="183"/>
        <v>0</v>
      </c>
      <c r="AF262" s="285">
        <f t="shared" si="235"/>
        <v>902.35</v>
      </c>
      <c r="AG262" s="261">
        <f>VLOOKUP($A262,[1]Planilha!$A$18:$BK$553,57,FALSE)</f>
        <v>902.35</v>
      </c>
      <c r="AH262" s="261">
        <f t="shared" si="184"/>
        <v>0</v>
      </c>
    </row>
    <row r="263" spans="1:34" s="124" customFormat="1">
      <c r="A263" s="232">
        <v>7891721027819</v>
      </c>
      <c r="B263" s="126">
        <v>1008903630101</v>
      </c>
      <c r="C263" s="121" t="s">
        <v>774</v>
      </c>
      <c r="D263" s="92" t="s">
        <v>676</v>
      </c>
      <c r="E263" s="284">
        <f t="shared" si="237"/>
        <v>1077.02</v>
      </c>
      <c r="F263" s="261">
        <f>VLOOKUP($A263,[1]Planilha!$A$18:$BK$553,54,FALSE)</f>
        <v>1063.72</v>
      </c>
      <c r="G263" s="261">
        <f t="shared" si="175"/>
        <v>13.299999999999955</v>
      </c>
      <c r="H263" s="284">
        <f t="shared" si="238"/>
        <v>1488.92</v>
      </c>
      <c r="I263" s="261">
        <f>VLOOKUP($A263,[1]Planilha!$A$18:$BK$553,62,FALSE)</f>
        <v>1488.92</v>
      </c>
      <c r="J263" s="261">
        <f t="shared" si="176"/>
        <v>0</v>
      </c>
      <c r="K263" s="389">
        <f>VLOOKUP(A263,[2]Plan1!$H$2:$J$279,3,FALSE)</f>
        <v>1050.7484400000001</v>
      </c>
      <c r="L263" s="261">
        <f>VLOOKUP($A263,[1]Planilha!$A$18:$BK$553,52,FALSE)</f>
        <v>1050.75</v>
      </c>
      <c r="M263" s="261">
        <f t="shared" si="177"/>
        <v>-1.5599999999267311E-3</v>
      </c>
      <c r="N263" s="391">
        <f t="shared" si="239"/>
        <v>1452.6</v>
      </c>
      <c r="O263" s="261">
        <f>VLOOKUP($A263,[1]Planilha!$A$18:$BK$553,60,FALSE)</f>
        <v>1452.6</v>
      </c>
      <c r="P263" s="261">
        <f t="shared" si="178"/>
        <v>0</v>
      </c>
      <c r="Q263" s="284">
        <f t="shared" si="230"/>
        <v>1044.3800000000001</v>
      </c>
      <c r="R263" s="261">
        <f>VLOOKUP($A263,[1]Planilha!$A$18:$BK$553,51,FALSE)</f>
        <v>1044.3800000000001</v>
      </c>
      <c r="S263" s="261">
        <f t="shared" si="179"/>
        <v>0</v>
      </c>
      <c r="T263" s="284">
        <f t="shared" si="231"/>
        <v>1443.79</v>
      </c>
      <c r="U263" s="261">
        <f>VLOOKUP($A263,[1]Planilha!$A$18:$BK$553,59,FALSE)</f>
        <v>1443.79</v>
      </c>
      <c r="V263" s="261">
        <f t="shared" si="180"/>
        <v>0</v>
      </c>
      <c r="W263" s="284">
        <f t="shared" si="232"/>
        <v>1038.0899999999999</v>
      </c>
      <c r="X263" s="261">
        <f>VLOOKUP($A263,[1]Planilha!$A$18:$BK$553,50,FALSE)</f>
        <v>1038.0899999999999</v>
      </c>
      <c r="Y263" s="261">
        <f t="shared" si="181"/>
        <v>0</v>
      </c>
      <c r="Z263" s="284">
        <f t="shared" si="233"/>
        <v>1435.1</v>
      </c>
      <c r="AA263" s="261">
        <f>VLOOKUP($A263,[1]Planilha!$A$18:$BK$553,58,FALSE)</f>
        <v>1435.1</v>
      </c>
      <c r="AB263" s="261">
        <f t="shared" si="182"/>
        <v>0</v>
      </c>
      <c r="AC263" s="284">
        <f t="shared" si="234"/>
        <v>979.11</v>
      </c>
      <c r="AD263" s="261">
        <f>VLOOKUP($A263,[1]Planilha!$A$18:$BK$553,49,FALSE)</f>
        <v>979.11</v>
      </c>
      <c r="AE263" s="261">
        <f t="shared" si="183"/>
        <v>0</v>
      </c>
      <c r="AF263" s="285">
        <f t="shared" si="235"/>
        <v>1353.56</v>
      </c>
      <c r="AG263" s="261">
        <f>VLOOKUP($A263,[1]Planilha!$A$18:$BK$553,57,FALSE)</f>
        <v>1353.56</v>
      </c>
      <c r="AH263" s="261">
        <f t="shared" si="184"/>
        <v>0</v>
      </c>
    </row>
    <row r="264" spans="1:34" s="124" customFormat="1">
      <c r="A264" s="232">
        <v>7891721027826</v>
      </c>
      <c r="B264" s="126">
        <v>1008903630118</v>
      </c>
      <c r="C264" s="121" t="s">
        <v>775</v>
      </c>
      <c r="D264" s="92" t="s">
        <v>677</v>
      </c>
      <c r="E264" s="289">
        <f t="shared" si="237"/>
        <v>2154.02</v>
      </c>
      <c r="F264" s="261">
        <f>VLOOKUP($A264,[1]Planilha!$A$18:$BK$553,54,FALSE)</f>
        <v>2127.44</v>
      </c>
      <c r="G264" s="261">
        <f t="shared" ref="G264:G327" si="240">E264-F264</f>
        <v>26.579999999999927</v>
      </c>
      <c r="H264" s="289">
        <f t="shared" si="238"/>
        <v>2977.81</v>
      </c>
      <c r="I264" s="261">
        <f>VLOOKUP($A264,[1]Planilha!$A$18:$BK$553,62,FALSE)</f>
        <v>2977.81</v>
      </c>
      <c r="J264" s="261">
        <f t="shared" ref="J264:J327" si="241">H264-I264</f>
        <v>0</v>
      </c>
      <c r="K264" s="389">
        <f>VLOOKUP(A264,[2]Plan1!$H$2:$J$279,3,FALSE)</f>
        <v>2101.4867440000003</v>
      </c>
      <c r="L264" s="261">
        <f>VLOOKUP($A264,[1]Planilha!$A$18:$BK$553,52,FALSE)</f>
        <v>2101.4899999999998</v>
      </c>
      <c r="M264" s="261">
        <f t="shared" ref="M264:M327" si="242">K264-L264</f>
        <v>-3.2559999995100952E-3</v>
      </c>
      <c r="N264" s="390">
        <f t="shared" si="239"/>
        <v>2905.18</v>
      </c>
      <c r="O264" s="261">
        <f>VLOOKUP($A264,[1]Planilha!$A$18:$BK$553,60,FALSE)</f>
        <v>2905.18</v>
      </c>
      <c r="P264" s="261">
        <f t="shared" ref="P264:P327" si="243">N264-O264</f>
        <v>0</v>
      </c>
      <c r="Q264" s="289">
        <f t="shared" si="230"/>
        <v>2088.75</v>
      </c>
      <c r="R264" s="261">
        <f>VLOOKUP($A264,[1]Planilha!$A$18:$BK$553,51,FALSE)</f>
        <v>2088.75</v>
      </c>
      <c r="S264" s="261">
        <f t="shared" ref="S264:S327" si="244">Q264-R264</f>
        <v>0</v>
      </c>
      <c r="T264" s="289">
        <f t="shared" si="231"/>
        <v>2887.57</v>
      </c>
      <c r="U264" s="261">
        <f>VLOOKUP($A264,[1]Planilha!$A$18:$BK$553,59,FALSE)</f>
        <v>2887.57</v>
      </c>
      <c r="V264" s="261">
        <f t="shared" ref="V264:V327" si="245">T264-U264</f>
        <v>0</v>
      </c>
      <c r="W264" s="289">
        <f t="shared" si="232"/>
        <v>2076.17</v>
      </c>
      <c r="X264" s="261">
        <f>VLOOKUP($A264,[1]Planilha!$A$18:$BK$553,50,FALSE)</f>
        <v>2076.17</v>
      </c>
      <c r="Y264" s="261">
        <f t="shared" ref="Y264:Y327" si="246">W264-X264</f>
        <v>0</v>
      </c>
      <c r="Z264" s="289">
        <f t="shared" si="233"/>
        <v>2870.18</v>
      </c>
      <c r="AA264" s="261">
        <f>VLOOKUP($A264,[1]Planilha!$A$18:$BK$553,58,FALSE)</f>
        <v>2870.18</v>
      </c>
      <c r="AB264" s="261">
        <f t="shared" ref="AB264:AB327" si="247">Z264-AA264</f>
        <v>0</v>
      </c>
      <c r="AC264" s="289">
        <f t="shared" si="234"/>
        <v>1958.2</v>
      </c>
      <c r="AD264" s="261">
        <f>VLOOKUP($A264,[1]Planilha!$A$18:$BK$553,49,FALSE)</f>
        <v>1958.2</v>
      </c>
      <c r="AE264" s="261">
        <f t="shared" ref="AE264:AE327" si="248">AC264-AD264</f>
        <v>0</v>
      </c>
      <c r="AF264" s="290">
        <f t="shared" si="235"/>
        <v>2707.1</v>
      </c>
      <c r="AG264" s="261">
        <f>VLOOKUP($A264,[1]Planilha!$A$18:$BK$553,57,FALSE)</f>
        <v>2707.1</v>
      </c>
      <c r="AH264" s="261">
        <f t="shared" ref="AH264:AH327" si="249">AF264-AG264</f>
        <v>0</v>
      </c>
    </row>
    <row r="265" spans="1:34" s="124" customFormat="1" ht="15">
      <c r="A265" s="414"/>
      <c r="B265" s="105" t="s">
        <v>482</v>
      </c>
      <c r="C265" s="105"/>
      <c r="D265" s="106"/>
      <c r="E265" s="286"/>
      <c r="F265" s="261" t="e">
        <f>VLOOKUP($A265,[1]Planilha!$A$18:$BK$553,54,FALSE)</f>
        <v>#N/A</v>
      </c>
      <c r="G265" s="261" t="e">
        <f t="shared" si="240"/>
        <v>#N/A</v>
      </c>
      <c r="H265" s="287"/>
      <c r="I265" s="261" t="e">
        <f>VLOOKUP($A265,[1]Planilha!$A$18:$BK$553,62,FALSE)</f>
        <v>#N/A</v>
      </c>
      <c r="J265" s="261" t="e">
        <f t="shared" si="241"/>
        <v>#N/A</v>
      </c>
      <c r="K265" s="389"/>
      <c r="L265" s="261" t="e">
        <f>VLOOKUP($A265,[1]Planilha!$A$18:$BK$553,52,FALSE)</f>
        <v>#N/A</v>
      </c>
      <c r="M265" s="261" t="e">
        <f t="shared" si="242"/>
        <v>#N/A</v>
      </c>
      <c r="N265" s="388"/>
      <c r="O265" s="261" t="e">
        <f>VLOOKUP($A265,[1]Planilha!$A$18:$BK$553,60,FALSE)</f>
        <v>#N/A</v>
      </c>
      <c r="P265" s="261" t="e">
        <f t="shared" si="243"/>
        <v>#N/A</v>
      </c>
      <c r="Q265" s="286"/>
      <c r="R265" s="261" t="e">
        <f>VLOOKUP($A265,[1]Planilha!$A$18:$BK$553,51,FALSE)</f>
        <v>#N/A</v>
      </c>
      <c r="S265" s="261" t="e">
        <f t="shared" si="244"/>
        <v>#N/A</v>
      </c>
      <c r="T265" s="287"/>
      <c r="U265" s="261" t="e">
        <f>VLOOKUP($A265,[1]Planilha!$A$18:$BK$553,59,FALSE)</f>
        <v>#N/A</v>
      </c>
      <c r="V265" s="261" t="e">
        <f t="shared" si="245"/>
        <v>#N/A</v>
      </c>
      <c r="W265" s="286"/>
      <c r="X265" s="261" t="e">
        <f>VLOOKUP($A265,[1]Planilha!$A$18:$BK$553,50,FALSE)</f>
        <v>#N/A</v>
      </c>
      <c r="Y265" s="261" t="e">
        <f t="shared" si="246"/>
        <v>#N/A</v>
      </c>
      <c r="Z265" s="287"/>
      <c r="AA265" s="261" t="e">
        <f>VLOOKUP($A265,[1]Planilha!$A$18:$BK$553,58,FALSE)</f>
        <v>#N/A</v>
      </c>
      <c r="AB265" s="261" t="e">
        <f t="shared" si="247"/>
        <v>#N/A</v>
      </c>
      <c r="AC265" s="286"/>
      <c r="AD265" s="261" t="e">
        <f>VLOOKUP($A265,[1]Planilha!$A$18:$BK$553,49,FALSE)</f>
        <v>#N/A</v>
      </c>
      <c r="AE265" s="261" t="e">
        <f t="shared" si="248"/>
        <v>#N/A</v>
      </c>
      <c r="AF265" s="288"/>
      <c r="AG265" s="261" t="e">
        <f>VLOOKUP($A265,[1]Planilha!$A$18:$BK$553,57,FALSE)</f>
        <v>#N/A</v>
      </c>
      <c r="AH265" s="261" t="e">
        <f t="shared" si="249"/>
        <v>#N/A</v>
      </c>
    </row>
    <row r="266" spans="1:34" s="124" customFormat="1">
      <c r="A266" s="232">
        <v>7891721023606</v>
      </c>
      <c r="B266" s="126">
        <v>1008903540011</v>
      </c>
      <c r="C266" s="121" t="s">
        <v>472</v>
      </c>
      <c r="D266" s="214" t="s">
        <v>473</v>
      </c>
      <c r="E266" s="282">
        <f>ROUND(K266*1.025,2)</f>
        <v>132.19</v>
      </c>
      <c r="F266" s="261">
        <f>VLOOKUP($A266,[1]Planilha!$A$18:$BK$553,54,FALSE)</f>
        <v>130.56</v>
      </c>
      <c r="G266" s="261">
        <f t="shared" si="240"/>
        <v>1.6299999999999955</v>
      </c>
      <c r="H266" s="282">
        <f>ROUND(E266/0.723358,2)</f>
        <v>182.74</v>
      </c>
      <c r="I266" s="261">
        <f>VLOOKUP($A266,[1]Planilha!$A$18:$BK$553,62,FALSE)</f>
        <v>182.74</v>
      </c>
      <c r="J266" s="261">
        <f t="shared" si="241"/>
        <v>0</v>
      </c>
      <c r="K266" s="389">
        <f>VLOOKUP(A266,[2]Plan1!$H$2:$J$279,3,FALSE)</f>
        <v>128.97046399999999</v>
      </c>
      <c r="L266" s="261">
        <f>VLOOKUP($A266,[1]Planilha!$A$18:$BK$553,52,FALSE)</f>
        <v>128.97</v>
      </c>
      <c r="M266" s="261">
        <f t="shared" si="242"/>
        <v>4.639999999938027E-4</v>
      </c>
      <c r="N266" s="389">
        <f>ROUND(K266/0.723358,2)</f>
        <v>178.29</v>
      </c>
      <c r="O266" s="261">
        <f>VLOOKUP($A266,[1]Planilha!$A$18:$BK$553,60,FALSE)</f>
        <v>178.29</v>
      </c>
      <c r="P266" s="261">
        <f t="shared" si="243"/>
        <v>0</v>
      </c>
      <c r="Q266" s="282">
        <f t="shared" si="230"/>
        <v>128.19</v>
      </c>
      <c r="R266" s="261">
        <f>VLOOKUP($A266,[1]Planilha!$A$18:$BK$553,51,FALSE)</f>
        <v>128.19</v>
      </c>
      <c r="S266" s="261">
        <f t="shared" si="244"/>
        <v>0</v>
      </c>
      <c r="T266" s="282">
        <f t="shared" si="231"/>
        <v>177.22</v>
      </c>
      <c r="U266" s="261">
        <f>VLOOKUP($A266,[1]Planilha!$A$18:$BK$553,59,FALSE)</f>
        <v>177.22</v>
      </c>
      <c r="V266" s="261">
        <f t="shared" si="245"/>
        <v>0</v>
      </c>
      <c r="W266" s="282">
        <f t="shared" si="232"/>
        <v>127.42</v>
      </c>
      <c r="X266" s="261">
        <f>VLOOKUP($A266,[1]Planilha!$A$18:$BK$553,50,FALSE)</f>
        <v>127.42</v>
      </c>
      <c r="Y266" s="261">
        <f t="shared" si="246"/>
        <v>0</v>
      </c>
      <c r="Z266" s="282">
        <f t="shared" si="233"/>
        <v>176.15</v>
      </c>
      <c r="AA266" s="261">
        <f>VLOOKUP($A266,[1]Planilha!$A$18:$BK$553,58,FALSE)</f>
        <v>176.15</v>
      </c>
      <c r="AB266" s="261">
        <f t="shared" si="247"/>
        <v>0</v>
      </c>
      <c r="AC266" s="282">
        <f t="shared" si="234"/>
        <v>120.18</v>
      </c>
      <c r="AD266" s="261">
        <f>VLOOKUP($A266,[1]Planilha!$A$18:$BK$553,49,FALSE)</f>
        <v>120.18</v>
      </c>
      <c r="AE266" s="261">
        <f t="shared" si="248"/>
        <v>0</v>
      </c>
      <c r="AF266" s="283">
        <f t="shared" si="235"/>
        <v>166.14</v>
      </c>
      <c r="AG266" s="261">
        <f>VLOOKUP($A266,[1]Planilha!$A$18:$BK$553,57,FALSE)</f>
        <v>166.14</v>
      </c>
      <c r="AH266" s="261">
        <f t="shared" si="249"/>
        <v>0</v>
      </c>
    </row>
    <row r="267" spans="1:34" s="124" customFormat="1" ht="15">
      <c r="A267" s="414"/>
      <c r="B267" s="105" t="s">
        <v>483</v>
      </c>
      <c r="C267" s="105"/>
      <c r="D267" s="106"/>
      <c r="E267" s="286"/>
      <c r="F267" s="261" t="e">
        <f>VLOOKUP($A267,[1]Planilha!$A$18:$BK$553,54,FALSE)</f>
        <v>#N/A</v>
      </c>
      <c r="G267" s="261" t="e">
        <f t="shared" si="240"/>
        <v>#N/A</v>
      </c>
      <c r="H267" s="287"/>
      <c r="I267" s="261" t="e">
        <f>VLOOKUP($A267,[1]Planilha!$A$18:$BK$553,62,FALSE)</f>
        <v>#N/A</v>
      </c>
      <c r="J267" s="261" t="e">
        <f t="shared" si="241"/>
        <v>#N/A</v>
      </c>
      <c r="K267" s="389"/>
      <c r="L267" s="261" t="e">
        <f>VLOOKUP($A267,[1]Planilha!$A$18:$BK$553,52,FALSE)</f>
        <v>#N/A</v>
      </c>
      <c r="M267" s="261" t="e">
        <f t="shared" si="242"/>
        <v>#N/A</v>
      </c>
      <c r="N267" s="388"/>
      <c r="O267" s="261" t="e">
        <f>VLOOKUP($A267,[1]Planilha!$A$18:$BK$553,60,FALSE)</f>
        <v>#N/A</v>
      </c>
      <c r="P267" s="261" t="e">
        <f t="shared" si="243"/>
        <v>#N/A</v>
      </c>
      <c r="Q267" s="286"/>
      <c r="R267" s="261" t="e">
        <f>VLOOKUP($A267,[1]Planilha!$A$18:$BK$553,51,FALSE)</f>
        <v>#N/A</v>
      </c>
      <c r="S267" s="261" t="e">
        <f t="shared" si="244"/>
        <v>#N/A</v>
      </c>
      <c r="T267" s="287"/>
      <c r="U267" s="261" t="e">
        <f>VLOOKUP($A267,[1]Planilha!$A$18:$BK$553,59,FALSE)</f>
        <v>#N/A</v>
      </c>
      <c r="V267" s="261" t="e">
        <f t="shared" si="245"/>
        <v>#N/A</v>
      </c>
      <c r="W267" s="286"/>
      <c r="X267" s="261" t="e">
        <f>VLOOKUP($A267,[1]Planilha!$A$18:$BK$553,50,FALSE)</f>
        <v>#N/A</v>
      </c>
      <c r="Y267" s="261" t="e">
        <f t="shared" si="246"/>
        <v>#N/A</v>
      </c>
      <c r="Z267" s="287"/>
      <c r="AA267" s="261" t="e">
        <f>VLOOKUP($A267,[1]Planilha!$A$18:$BK$553,58,FALSE)</f>
        <v>#N/A</v>
      </c>
      <c r="AB267" s="261" t="e">
        <f t="shared" si="247"/>
        <v>#N/A</v>
      </c>
      <c r="AC267" s="286"/>
      <c r="AD267" s="261" t="e">
        <f>VLOOKUP($A267,[1]Planilha!$A$18:$BK$553,49,FALSE)</f>
        <v>#N/A</v>
      </c>
      <c r="AE267" s="261" t="e">
        <f t="shared" si="248"/>
        <v>#N/A</v>
      </c>
      <c r="AF267" s="288"/>
      <c r="AG267" s="261" t="e">
        <f>VLOOKUP($A267,[1]Planilha!$A$18:$BK$553,57,FALSE)</f>
        <v>#N/A</v>
      </c>
      <c r="AH267" s="261" t="e">
        <f t="shared" si="249"/>
        <v>#N/A</v>
      </c>
    </row>
    <row r="268" spans="1:34" s="124" customFormat="1">
      <c r="A268" s="232">
        <v>7891721027963</v>
      </c>
      <c r="B268" s="126">
        <v>1008903760054</v>
      </c>
      <c r="C268" s="121" t="s">
        <v>704</v>
      </c>
      <c r="D268" s="92" t="s">
        <v>703</v>
      </c>
      <c r="E268" s="289">
        <f t="shared" ref="E268" si="250">ROUND(K268*1.025,2)</f>
        <v>320.33999999999997</v>
      </c>
      <c r="F268" s="261">
        <f>VLOOKUP($A268,[1]Planilha!$A$18:$BK$553,54,FALSE)</f>
        <v>316.38</v>
      </c>
      <c r="G268" s="261">
        <f t="shared" si="240"/>
        <v>3.9599999999999795</v>
      </c>
      <c r="H268" s="289">
        <f t="shared" ref="H268" si="251">ROUND(E268/0.723358,2)</f>
        <v>442.85</v>
      </c>
      <c r="I268" s="261">
        <f>VLOOKUP($A268,[1]Planilha!$A$18:$BK$553,62,FALSE)</f>
        <v>442.85</v>
      </c>
      <c r="J268" s="261">
        <f t="shared" si="241"/>
        <v>0</v>
      </c>
      <c r="K268" s="389">
        <f>VLOOKUP(A268,[2]Plan1!$H$2:$J$279,3,FALSE)</f>
        <v>312.52328799999998</v>
      </c>
      <c r="L268" s="261">
        <f>VLOOKUP($A268,[1]Planilha!$A$18:$BK$553,52,FALSE)</f>
        <v>312.52</v>
      </c>
      <c r="M268" s="261">
        <f t="shared" si="242"/>
        <v>3.2879999999977372E-3</v>
      </c>
      <c r="N268" s="493">
        <v>432.04</v>
      </c>
      <c r="O268" s="261">
        <f>VLOOKUP($A268,[1]Planilha!$A$18:$BK$553,60,FALSE)</f>
        <v>432.04</v>
      </c>
      <c r="P268" s="261">
        <f t="shared" si="243"/>
        <v>0</v>
      </c>
      <c r="Q268" s="289">
        <f t="shared" si="230"/>
        <v>310.63</v>
      </c>
      <c r="R268" s="261">
        <f>VLOOKUP($A268,[1]Planilha!$A$18:$BK$553,51,FALSE)</f>
        <v>310.63</v>
      </c>
      <c r="S268" s="261">
        <f t="shared" si="244"/>
        <v>0</v>
      </c>
      <c r="T268" s="289">
        <f t="shared" si="231"/>
        <v>429.43</v>
      </c>
      <c r="U268" s="261">
        <f>VLOOKUP($A268,[1]Planilha!$A$18:$BK$553,59,FALSE)</f>
        <v>429.43</v>
      </c>
      <c r="V268" s="261">
        <f t="shared" si="245"/>
        <v>0</v>
      </c>
      <c r="W268" s="289">
        <f t="shared" si="232"/>
        <v>308.76</v>
      </c>
      <c r="X268" s="261">
        <f>VLOOKUP($A268,[1]Planilha!$A$18:$BK$553,50,FALSE)</f>
        <v>308.76</v>
      </c>
      <c r="Y268" s="261">
        <f t="shared" si="246"/>
        <v>0</v>
      </c>
      <c r="Z268" s="289">
        <f t="shared" si="233"/>
        <v>426.84</v>
      </c>
      <c r="AA268" s="261">
        <f>VLOOKUP($A268,[1]Planilha!$A$18:$BK$553,58,FALSE)</f>
        <v>426.84</v>
      </c>
      <c r="AB268" s="261">
        <f t="shared" si="247"/>
        <v>0</v>
      </c>
      <c r="AC268" s="289">
        <f t="shared" si="234"/>
        <v>291.20999999999998</v>
      </c>
      <c r="AD268" s="261">
        <f>VLOOKUP($A268,[1]Planilha!$A$18:$BK$553,49,FALSE)</f>
        <v>291.20999999999998</v>
      </c>
      <c r="AE268" s="261">
        <f t="shared" si="248"/>
        <v>0</v>
      </c>
      <c r="AF268" s="290">
        <f t="shared" si="235"/>
        <v>402.58</v>
      </c>
      <c r="AG268" s="261">
        <f>VLOOKUP($A268,[1]Planilha!$A$18:$BK$553,57,FALSE)</f>
        <v>402.58</v>
      </c>
      <c r="AH268" s="261">
        <f t="shared" si="249"/>
        <v>0</v>
      </c>
    </row>
    <row r="269" spans="1:34" s="124" customFormat="1" ht="15">
      <c r="A269" s="414"/>
      <c r="B269" s="105" t="s">
        <v>484</v>
      </c>
      <c r="C269" s="105"/>
      <c r="D269" s="106"/>
      <c r="E269" s="286"/>
      <c r="F269" s="261" t="e">
        <f>VLOOKUP($A269,[1]Planilha!$A$18:$BK$553,54,FALSE)</f>
        <v>#N/A</v>
      </c>
      <c r="G269" s="261" t="e">
        <f t="shared" si="240"/>
        <v>#N/A</v>
      </c>
      <c r="H269" s="287"/>
      <c r="I269" s="261" t="e">
        <f>VLOOKUP($A269,[1]Planilha!$A$18:$BK$553,62,FALSE)</f>
        <v>#N/A</v>
      </c>
      <c r="J269" s="261" t="e">
        <f t="shared" si="241"/>
        <v>#N/A</v>
      </c>
      <c r="K269" s="389"/>
      <c r="L269" s="261" t="e">
        <f>VLOOKUP($A269,[1]Planilha!$A$18:$BK$553,52,FALSE)</f>
        <v>#N/A</v>
      </c>
      <c r="M269" s="261" t="e">
        <f t="shared" si="242"/>
        <v>#N/A</v>
      </c>
      <c r="N269" s="388"/>
      <c r="O269" s="261" t="e">
        <f>VLOOKUP($A269,[1]Planilha!$A$18:$BK$553,60,FALSE)</f>
        <v>#N/A</v>
      </c>
      <c r="P269" s="261" t="e">
        <f t="shared" si="243"/>
        <v>#N/A</v>
      </c>
      <c r="Q269" s="286"/>
      <c r="R269" s="261" t="e">
        <f>VLOOKUP($A269,[1]Planilha!$A$18:$BK$553,51,FALSE)</f>
        <v>#N/A</v>
      </c>
      <c r="S269" s="261" t="e">
        <f t="shared" si="244"/>
        <v>#N/A</v>
      </c>
      <c r="T269" s="287"/>
      <c r="U269" s="261" t="e">
        <f>VLOOKUP($A269,[1]Planilha!$A$18:$BK$553,59,FALSE)</f>
        <v>#N/A</v>
      </c>
      <c r="V269" s="261" t="e">
        <f t="shared" si="245"/>
        <v>#N/A</v>
      </c>
      <c r="W269" s="286"/>
      <c r="X269" s="261" t="e">
        <f>VLOOKUP($A269,[1]Planilha!$A$18:$BK$553,50,FALSE)</f>
        <v>#N/A</v>
      </c>
      <c r="Y269" s="261" t="e">
        <f t="shared" si="246"/>
        <v>#N/A</v>
      </c>
      <c r="Z269" s="287"/>
      <c r="AA269" s="261" t="e">
        <f>VLOOKUP($A269,[1]Planilha!$A$18:$BK$553,58,FALSE)</f>
        <v>#N/A</v>
      </c>
      <c r="AB269" s="261" t="e">
        <f t="shared" si="247"/>
        <v>#N/A</v>
      </c>
      <c r="AC269" s="286"/>
      <c r="AD269" s="261" t="e">
        <f>VLOOKUP($A269,[1]Planilha!$A$18:$BK$553,49,FALSE)</f>
        <v>#N/A</v>
      </c>
      <c r="AE269" s="261" t="e">
        <f t="shared" si="248"/>
        <v>#N/A</v>
      </c>
      <c r="AF269" s="288"/>
      <c r="AG269" s="261" t="e">
        <f>VLOOKUP($A269,[1]Planilha!$A$18:$BK$553,57,FALSE)</f>
        <v>#N/A</v>
      </c>
      <c r="AH269" s="261" t="e">
        <f t="shared" si="249"/>
        <v>#N/A</v>
      </c>
    </row>
    <row r="270" spans="1:34" s="124" customFormat="1">
      <c r="A270" s="232">
        <v>7891721022418</v>
      </c>
      <c r="B270" s="126">
        <v>1008903510023</v>
      </c>
      <c r="C270" s="121" t="s">
        <v>548</v>
      </c>
      <c r="D270" s="214" t="s">
        <v>635</v>
      </c>
      <c r="E270" s="282">
        <f>K270</f>
        <v>8753.2975600000009</v>
      </c>
      <c r="F270" s="261">
        <f>VLOOKUP($A270,[1]Planilha!$A$18:$BK$553,54,FALSE)</f>
        <v>8861.4</v>
      </c>
      <c r="G270" s="261">
        <f t="shared" si="240"/>
        <v>-108.10243999999875</v>
      </c>
      <c r="H270" s="282">
        <f>N270</f>
        <v>12100.92</v>
      </c>
      <c r="I270" s="261">
        <f>VLOOKUP($A270,[1]Planilha!$A$18:$BK$553,62,FALSE)</f>
        <v>12403.44</v>
      </c>
      <c r="J270" s="261">
        <f t="shared" si="241"/>
        <v>-302.52000000000044</v>
      </c>
      <c r="K270" s="389">
        <f>VLOOKUP(A270,[2]Plan1!$H$2:$J$279,3,FALSE)</f>
        <v>8753.2975600000009</v>
      </c>
      <c r="L270" s="261">
        <f>VLOOKUP($A270,[1]Planilha!$A$18:$BK$553,52,FALSE)</f>
        <v>8753.2999999999993</v>
      </c>
      <c r="M270" s="261">
        <f t="shared" si="242"/>
        <v>-2.4399999983870657E-3</v>
      </c>
      <c r="N270" s="389">
        <f>ROUND(K270/0.723358,2)</f>
        <v>12100.92</v>
      </c>
      <c r="O270" s="261">
        <f>VLOOKUP($A270,[1]Planilha!$A$18:$BK$553,60,FALSE)</f>
        <v>12100.92</v>
      </c>
      <c r="P270" s="261">
        <f t="shared" si="243"/>
        <v>0</v>
      </c>
      <c r="Q270" s="282">
        <f t="shared" si="230"/>
        <v>8700.24</v>
      </c>
      <c r="R270" s="261">
        <f>VLOOKUP($A270,[1]Planilha!$A$18:$BK$553,51,FALSE)</f>
        <v>8700.24</v>
      </c>
      <c r="S270" s="261">
        <f t="shared" si="244"/>
        <v>0</v>
      </c>
      <c r="T270" s="282">
        <f t="shared" si="231"/>
        <v>12027.57</v>
      </c>
      <c r="U270" s="261">
        <f>VLOOKUP($A270,[1]Planilha!$A$18:$BK$553,59,FALSE)</f>
        <v>12027.57</v>
      </c>
      <c r="V270" s="261">
        <f t="shared" si="245"/>
        <v>0</v>
      </c>
      <c r="W270" s="282">
        <f t="shared" si="232"/>
        <v>8647.84</v>
      </c>
      <c r="X270" s="261">
        <f>VLOOKUP($A270,[1]Planilha!$A$18:$BK$553,50,FALSE)</f>
        <v>8647.84</v>
      </c>
      <c r="Y270" s="261">
        <f t="shared" si="246"/>
        <v>0</v>
      </c>
      <c r="Z270" s="282">
        <f t="shared" si="233"/>
        <v>11955.13</v>
      </c>
      <c r="AA270" s="261">
        <f>VLOOKUP($A270,[1]Planilha!$A$18:$BK$553,58,FALSE)</f>
        <v>11955.13</v>
      </c>
      <c r="AB270" s="261">
        <f t="shared" si="247"/>
        <v>0</v>
      </c>
      <c r="AC270" s="282">
        <f t="shared" si="234"/>
        <v>8156.48</v>
      </c>
      <c r="AD270" s="261">
        <f>VLOOKUP($A270,[1]Planilha!$A$18:$BK$553,49,FALSE)</f>
        <v>8156.48</v>
      </c>
      <c r="AE270" s="261">
        <f t="shared" si="248"/>
        <v>0</v>
      </c>
      <c r="AF270" s="283">
        <f t="shared" si="235"/>
        <v>11275.86</v>
      </c>
      <c r="AG270" s="261">
        <f>VLOOKUP($A270,[1]Planilha!$A$18:$BK$553,57,FALSE)</f>
        <v>11275.86</v>
      </c>
      <c r="AH270" s="261">
        <f t="shared" si="249"/>
        <v>0</v>
      </c>
    </row>
    <row r="271" spans="1:34" s="124" customFormat="1">
      <c r="A271" s="232">
        <v>7891721022425</v>
      </c>
      <c r="B271" s="126">
        <v>1008903510041</v>
      </c>
      <c r="C271" s="121" t="s">
        <v>549</v>
      </c>
      <c r="D271" s="92" t="s">
        <v>636</v>
      </c>
      <c r="E271" s="289">
        <f>K271</f>
        <v>9958.3666000000012</v>
      </c>
      <c r="F271" s="261">
        <f>VLOOKUP($A271,[1]Planilha!$A$18:$BK$553,54,FALSE)</f>
        <v>10081.35</v>
      </c>
      <c r="G271" s="261">
        <f t="shared" si="240"/>
        <v>-122.98339999999916</v>
      </c>
      <c r="H271" s="289">
        <f>N271</f>
        <v>13766.86</v>
      </c>
      <c r="I271" s="261">
        <f>VLOOKUP($A271,[1]Planilha!$A$18:$BK$553,62,FALSE)</f>
        <v>14111.03</v>
      </c>
      <c r="J271" s="261">
        <f t="shared" si="241"/>
        <v>-344.17000000000007</v>
      </c>
      <c r="K271" s="389">
        <f>VLOOKUP(A271,[2]Plan1!$H$2:$J$279,3,FALSE)</f>
        <v>9958.3666000000012</v>
      </c>
      <c r="L271" s="261">
        <f>VLOOKUP($A271,[1]Planilha!$A$18:$BK$553,52,FALSE)</f>
        <v>9958.3700000000008</v>
      </c>
      <c r="M271" s="261">
        <f t="shared" si="242"/>
        <v>-3.3999999996012775E-3</v>
      </c>
      <c r="N271" s="390">
        <f t="shared" ref="N271" si="252">ROUND(K271/0.723358,2)</f>
        <v>13766.86</v>
      </c>
      <c r="O271" s="261">
        <f>VLOOKUP($A271,[1]Planilha!$A$18:$BK$553,60,FALSE)</f>
        <v>13766.86</v>
      </c>
      <c r="P271" s="261">
        <f t="shared" si="243"/>
        <v>0</v>
      </c>
      <c r="Q271" s="289">
        <f t="shared" si="230"/>
        <v>9898.01</v>
      </c>
      <c r="R271" s="261">
        <f>VLOOKUP($A271,[1]Planilha!$A$18:$BK$553,51,FALSE)</f>
        <v>9898.01</v>
      </c>
      <c r="S271" s="261">
        <f t="shared" si="244"/>
        <v>0</v>
      </c>
      <c r="T271" s="289">
        <f t="shared" si="231"/>
        <v>13683.42</v>
      </c>
      <c r="U271" s="261">
        <f>VLOOKUP($A271,[1]Planilha!$A$18:$BK$553,59,FALSE)</f>
        <v>13683.42</v>
      </c>
      <c r="V271" s="261">
        <f t="shared" si="245"/>
        <v>0</v>
      </c>
      <c r="W271" s="289">
        <f t="shared" si="232"/>
        <v>9838.39</v>
      </c>
      <c r="X271" s="261">
        <f>VLOOKUP($A271,[1]Planilha!$A$18:$BK$553,50,FALSE)</f>
        <v>9838.39</v>
      </c>
      <c r="Y271" s="261">
        <f t="shared" si="246"/>
        <v>0</v>
      </c>
      <c r="Z271" s="289">
        <f t="shared" si="233"/>
        <v>13601</v>
      </c>
      <c r="AA271" s="261">
        <f>VLOOKUP($A271,[1]Planilha!$A$18:$BK$553,58,FALSE)</f>
        <v>13601</v>
      </c>
      <c r="AB271" s="261">
        <f t="shared" si="247"/>
        <v>0</v>
      </c>
      <c r="AC271" s="490">
        <v>9279.3799999999992</v>
      </c>
      <c r="AD271" s="261">
        <f>VLOOKUP($A271,[1]Planilha!$A$18:$BK$553,49,FALSE)</f>
        <v>9279.3799999999992</v>
      </c>
      <c r="AE271" s="261">
        <f t="shared" si="248"/>
        <v>0</v>
      </c>
      <c r="AF271" s="290">
        <f t="shared" si="235"/>
        <v>12828.2</v>
      </c>
      <c r="AG271" s="261">
        <f>VLOOKUP($A271,[1]Planilha!$A$18:$BK$553,57,FALSE)</f>
        <v>12828.2</v>
      </c>
      <c r="AH271" s="261">
        <f t="shared" si="249"/>
        <v>0</v>
      </c>
    </row>
    <row r="272" spans="1:34" s="124" customFormat="1" ht="15">
      <c r="A272" s="414"/>
      <c r="B272" s="105" t="s">
        <v>485</v>
      </c>
      <c r="C272" s="105"/>
      <c r="D272" s="106"/>
      <c r="E272" s="333"/>
      <c r="F272" s="261" t="e">
        <f>VLOOKUP($A272,[1]Planilha!$A$18:$BK$553,54,FALSE)</f>
        <v>#N/A</v>
      </c>
      <c r="G272" s="261" t="e">
        <f t="shared" si="240"/>
        <v>#N/A</v>
      </c>
      <c r="H272" s="334"/>
      <c r="I272" s="261" t="e">
        <f>VLOOKUP($A272,[1]Planilha!$A$18:$BK$553,62,FALSE)</f>
        <v>#N/A</v>
      </c>
      <c r="J272" s="261" t="e">
        <f t="shared" si="241"/>
        <v>#N/A</v>
      </c>
      <c r="K272" s="389"/>
      <c r="L272" s="261" t="e">
        <f>VLOOKUP($A272,[1]Planilha!$A$18:$BK$553,52,FALSE)</f>
        <v>#N/A</v>
      </c>
      <c r="M272" s="261" t="e">
        <f t="shared" si="242"/>
        <v>#N/A</v>
      </c>
      <c r="N272" s="189"/>
      <c r="O272" s="261" t="e">
        <f>VLOOKUP($A272,[1]Planilha!$A$18:$BK$553,60,FALSE)</f>
        <v>#N/A</v>
      </c>
      <c r="P272" s="261" t="e">
        <f t="shared" si="243"/>
        <v>#N/A</v>
      </c>
      <c r="Q272" s="333"/>
      <c r="R272" s="261" t="e">
        <f>VLOOKUP($A272,[1]Planilha!$A$18:$BK$553,51,FALSE)</f>
        <v>#N/A</v>
      </c>
      <c r="S272" s="261" t="e">
        <f t="shared" si="244"/>
        <v>#N/A</v>
      </c>
      <c r="T272" s="334"/>
      <c r="U272" s="261" t="e">
        <f>VLOOKUP($A272,[1]Planilha!$A$18:$BK$553,59,FALSE)</f>
        <v>#N/A</v>
      </c>
      <c r="V272" s="261" t="e">
        <f t="shared" si="245"/>
        <v>#N/A</v>
      </c>
      <c r="W272" s="333"/>
      <c r="X272" s="261" t="e">
        <f>VLOOKUP($A272,[1]Planilha!$A$18:$BK$553,50,FALSE)</f>
        <v>#N/A</v>
      </c>
      <c r="Y272" s="261" t="e">
        <f t="shared" si="246"/>
        <v>#N/A</v>
      </c>
      <c r="Z272" s="334"/>
      <c r="AA272" s="261" t="e">
        <f>VLOOKUP($A272,[1]Planilha!$A$18:$BK$553,58,FALSE)</f>
        <v>#N/A</v>
      </c>
      <c r="AB272" s="261" t="e">
        <f t="shared" si="247"/>
        <v>#N/A</v>
      </c>
      <c r="AC272" s="333"/>
      <c r="AD272" s="261" t="e">
        <f>VLOOKUP($A272,[1]Planilha!$A$18:$BK$553,49,FALSE)</f>
        <v>#N/A</v>
      </c>
      <c r="AE272" s="261" t="e">
        <f t="shared" si="248"/>
        <v>#N/A</v>
      </c>
      <c r="AF272" s="335"/>
      <c r="AG272" s="261" t="e">
        <f>VLOOKUP($A272,[1]Planilha!$A$18:$BK$553,57,FALSE)</f>
        <v>#N/A</v>
      </c>
      <c r="AH272" s="261" t="e">
        <f t="shared" si="249"/>
        <v>#N/A</v>
      </c>
    </row>
    <row r="273" spans="1:34" s="124" customFormat="1">
      <c r="A273" s="232">
        <v>7891721022463</v>
      </c>
      <c r="B273" s="126">
        <v>1008903500011</v>
      </c>
      <c r="C273" s="121" t="s">
        <v>474</v>
      </c>
      <c r="D273" s="92" t="s">
        <v>637</v>
      </c>
      <c r="E273" s="284">
        <f>K273</f>
        <v>120.75</v>
      </c>
      <c r="F273" s="261">
        <f>VLOOKUP($A273,[1]Planilha!$A$18:$BK$553,54,FALSE)</f>
        <v>122.24</v>
      </c>
      <c r="G273" s="261">
        <f t="shared" si="240"/>
        <v>-1.4899999999999949</v>
      </c>
      <c r="H273" s="284">
        <f>N273</f>
        <v>166.93</v>
      </c>
      <c r="I273" s="261">
        <f>VLOOKUP($A273,[1]Planilha!$A$18:$BK$553,62,FALSE)</f>
        <v>171.1</v>
      </c>
      <c r="J273" s="261">
        <f t="shared" si="241"/>
        <v>-4.1699999999999875</v>
      </c>
      <c r="K273" s="389">
        <f>VLOOKUP(A273,[2]Plan1!$H$2:$J$279,3,FALSE)</f>
        <v>120.75</v>
      </c>
      <c r="L273" s="261">
        <f>VLOOKUP($A273,[1]Planilha!$A$18:$BK$553,52,FALSE)</f>
        <v>120.75</v>
      </c>
      <c r="M273" s="261">
        <f t="shared" si="242"/>
        <v>0</v>
      </c>
      <c r="N273" s="391">
        <f t="shared" ref="N273:N277" si="253">ROUND(K273/0.723358,2)</f>
        <v>166.93</v>
      </c>
      <c r="O273" s="261">
        <f>VLOOKUP($A273,[1]Planilha!$A$18:$BK$553,60,FALSE)</f>
        <v>166.93</v>
      </c>
      <c r="P273" s="261">
        <f t="shared" si="243"/>
        <v>0</v>
      </c>
      <c r="Q273" s="284">
        <f t="shared" si="230"/>
        <v>120.02</v>
      </c>
      <c r="R273" s="261">
        <f>VLOOKUP($A273,[1]Planilha!$A$18:$BK$553,51,FALSE)</f>
        <v>120.02</v>
      </c>
      <c r="S273" s="261">
        <f t="shared" si="244"/>
        <v>0</v>
      </c>
      <c r="T273" s="284">
        <f t="shared" si="231"/>
        <v>165.92</v>
      </c>
      <c r="U273" s="261">
        <f>VLOOKUP($A273,[1]Planilha!$A$18:$BK$553,59,FALSE)</f>
        <v>165.92</v>
      </c>
      <c r="V273" s="261">
        <f t="shared" si="245"/>
        <v>0</v>
      </c>
      <c r="W273" s="284">
        <f t="shared" si="232"/>
        <v>119.3</v>
      </c>
      <c r="X273" s="261">
        <f>VLOOKUP($A273,[1]Planilha!$A$18:$BK$553,50,FALSE)</f>
        <v>119.3</v>
      </c>
      <c r="Y273" s="261">
        <f t="shared" si="246"/>
        <v>0</v>
      </c>
      <c r="Z273" s="284">
        <f t="shared" si="233"/>
        <v>164.93</v>
      </c>
      <c r="AA273" s="261">
        <f>VLOOKUP($A273,[1]Planilha!$A$18:$BK$553,58,FALSE)</f>
        <v>164.93</v>
      </c>
      <c r="AB273" s="261">
        <f t="shared" si="247"/>
        <v>0</v>
      </c>
      <c r="AC273" s="284">
        <f t="shared" si="234"/>
        <v>112.52</v>
      </c>
      <c r="AD273" s="261">
        <f>VLOOKUP($A273,[1]Planilha!$A$18:$BK$553,49,FALSE)</f>
        <v>112.52</v>
      </c>
      <c r="AE273" s="261">
        <f t="shared" si="248"/>
        <v>0</v>
      </c>
      <c r="AF273" s="285">
        <f t="shared" si="235"/>
        <v>155.55000000000001</v>
      </c>
      <c r="AG273" s="261">
        <f>VLOOKUP($A273,[1]Planilha!$A$18:$BK$553,57,FALSE)</f>
        <v>155.55000000000001</v>
      </c>
      <c r="AH273" s="261">
        <f t="shared" si="249"/>
        <v>0</v>
      </c>
    </row>
    <row r="274" spans="1:34" s="124" customFormat="1">
      <c r="A274" s="232">
        <v>7891721022470</v>
      </c>
      <c r="B274" s="126">
        <v>1008903500028</v>
      </c>
      <c r="C274" s="121" t="s">
        <v>475</v>
      </c>
      <c r="D274" s="92" t="s">
        <v>476</v>
      </c>
      <c r="E274" s="284">
        <f t="shared" ref="E274:E277" si="254">ROUND(K274*1.025,2)</f>
        <v>729.75</v>
      </c>
      <c r="F274" s="261">
        <f>VLOOKUP($A274,[1]Planilha!$A$18:$BK$553,54,FALSE)</f>
        <v>720.74</v>
      </c>
      <c r="G274" s="261">
        <f t="shared" si="240"/>
        <v>9.0099999999999909</v>
      </c>
      <c r="H274" s="284">
        <f t="shared" ref="H274:H277" si="255">ROUND(E274/0.723358,2)</f>
        <v>1008.84</v>
      </c>
      <c r="I274" s="261">
        <f>VLOOKUP($A274,[1]Planilha!$A$18:$BK$553,62,FALSE)</f>
        <v>1008.84</v>
      </c>
      <c r="J274" s="261">
        <f t="shared" si="241"/>
        <v>0</v>
      </c>
      <c r="K274" s="389">
        <f>VLOOKUP(A274,[2]Plan1!$H$2:$J$279,3,FALSE)</f>
        <v>711.95</v>
      </c>
      <c r="L274" s="261">
        <f>VLOOKUP($A274,[1]Planilha!$A$18:$BK$553,52,FALSE)</f>
        <v>711.95</v>
      </c>
      <c r="M274" s="261">
        <f t="shared" si="242"/>
        <v>0</v>
      </c>
      <c r="N274" s="391">
        <f t="shared" si="253"/>
        <v>984.23</v>
      </c>
      <c r="O274" s="261">
        <f>VLOOKUP($A274,[1]Planilha!$A$18:$BK$553,60,FALSE)</f>
        <v>984.23</v>
      </c>
      <c r="P274" s="261">
        <f t="shared" si="243"/>
        <v>0</v>
      </c>
      <c r="Q274" s="284">
        <f t="shared" si="230"/>
        <v>707.63</v>
      </c>
      <c r="R274" s="261">
        <f>VLOOKUP($A274,[1]Planilha!$A$18:$BK$553,51,FALSE)</f>
        <v>707.63</v>
      </c>
      <c r="S274" s="261">
        <f t="shared" si="244"/>
        <v>0</v>
      </c>
      <c r="T274" s="284">
        <f t="shared" si="231"/>
        <v>978.26</v>
      </c>
      <c r="U274" s="261">
        <f>VLOOKUP($A274,[1]Planilha!$A$18:$BK$553,59,FALSE)</f>
        <v>978.26</v>
      </c>
      <c r="V274" s="261">
        <f t="shared" si="245"/>
        <v>0</v>
      </c>
      <c r="W274" s="284">
        <f t="shared" si="232"/>
        <v>703.37</v>
      </c>
      <c r="X274" s="261">
        <f>VLOOKUP($A274,[1]Planilha!$A$18:$BK$553,50,FALSE)</f>
        <v>703.37</v>
      </c>
      <c r="Y274" s="261">
        <f t="shared" si="246"/>
        <v>0</v>
      </c>
      <c r="Z274" s="284">
        <f t="shared" si="233"/>
        <v>972.37</v>
      </c>
      <c r="AA274" s="261">
        <f>VLOOKUP($A274,[1]Planilha!$A$18:$BK$553,58,FALSE)</f>
        <v>972.37</v>
      </c>
      <c r="AB274" s="261">
        <f t="shared" si="247"/>
        <v>0</v>
      </c>
      <c r="AC274" s="284">
        <f t="shared" si="234"/>
        <v>663.41</v>
      </c>
      <c r="AD274" s="261">
        <f>VLOOKUP($A274,[1]Planilha!$A$18:$BK$553,49,FALSE)</f>
        <v>663.41</v>
      </c>
      <c r="AE274" s="261">
        <f t="shared" si="248"/>
        <v>0</v>
      </c>
      <c r="AF274" s="285">
        <f t="shared" si="235"/>
        <v>917.13</v>
      </c>
      <c r="AG274" s="261">
        <f>VLOOKUP($A274,[1]Planilha!$A$18:$BK$553,57,FALSE)</f>
        <v>917.13</v>
      </c>
      <c r="AH274" s="261">
        <f t="shared" si="249"/>
        <v>0</v>
      </c>
    </row>
    <row r="275" spans="1:34" s="124" customFormat="1">
      <c r="A275" s="232">
        <v>7891721026263</v>
      </c>
      <c r="B275" s="126">
        <v>1008903500044</v>
      </c>
      <c r="C275" s="121" t="s">
        <v>695</v>
      </c>
      <c r="D275" s="92" t="s">
        <v>691</v>
      </c>
      <c r="E275" s="284">
        <f t="shared" si="254"/>
        <v>552.83000000000004</v>
      </c>
      <c r="F275" s="261">
        <f>VLOOKUP($A275,[1]Planilha!$A$18:$BK$553,54,FALSE)</f>
        <v>546.01</v>
      </c>
      <c r="G275" s="261">
        <f t="shared" si="240"/>
        <v>6.82000000000005</v>
      </c>
      <c r="H275" s="284">
        <f t="shared" si="255"/>
        <v>764.26</v>
      </c>
      <c r="I275" s="261">
        <f>VLOOKUP($A275,[1]Planilha!$A$18:$BK$553,62,FALSE)</f>
        <v>764.26</v>
      </c>
      <c r="J275" s="261">
        <f t="shared" si="241"/>
        <v>0</v>
      </c>
      <c r="K275" s="389">
        <f>VLOOKUP(A275,[2]Plan1!$H$2:$J$279,3,FALSE)</f>
        <v>539.35</v>
      </c>
      <c r="L275" s="261">
        <f>VLOOKUP($A275,[1]Planilha!$A$18:$BK$553,52,FALSE)</f>
        <v>539.35</v>
      </c>
      <c r="M275" s="261">
        <f t="shared" si="242"/>
        <v>0</v>
      </c>
      <c r="N275" s="391">
        <f t="shared" si="253"/>
        <v>745.62</v>
      </c>
      <c r="O275" s="261">
        <f>VLOOKUP($A275,[1]Planilha!$A$18:$BK$553,60,FALSE)</f>
        <v>745.62</v>
      </c>
      <c r="P275" s="261">
        <f t="shared" si="243"/>
        <v>0</v>
      </c>
      <c r="Q275" s="284">
        <f t="shared" si="230"/>
        <v>536.08000000000004</v>
      </c>
      <c r="R275" s="261">
        <f>VLOOKUP($A275,[1]Planilha!$A$18:$BK$553,51,FALSE)</f>
        <v>536.08000000000004</v>
      </c>
      <c r="S275" s="261">
        <f t="shared" si="244"/>
        <v>0</v>
      </c>
      <c r="T275" s="284">
        <f t="shared" si="231"/>
        <v>741.1</v>
      </c>
      <c r="U275" s="261">
        <f>VLOOKUP($A275,[1]Planilha!$A$18:$BK$553,59,FALSE)</f>
        <v>741.1</v>
      </c>
      <c r="V275" s="261">
        <f t="shared" si="245"/>
        <v>0</v>
      </c>
      <c r="W275" s="284">
        <f t="shared" si="232"/>
        <v>532.85</v>
      </c>
      <c r="X275" s="261">
        <f>VLOOKUP($A275,[1]Planilha!$A$18:$BK$553,50,FALSE)</f>
        <v>532.85</v>
      </c>
      <c r="Y275" s="261">
        <f t="shared" si="246"/>
        <v>0</v>
      </c>
      <c r="Z275" s="284">
        <f t="shared" si="233"/>
        <v>736.63</v>
      </c>
      <c r="AA275" s="261">
        <f>VLOOKUP($A275,[1]Planilha!$A$18:$BK$553,58,FALSE)</f>
        <v>736.63</v>
      </c>
      <c r="AB275" s="261">
        <f t="shared" si="247"/>
        <v>0</v>
      </c>
      <c r="AC275" s="284">
        <f t="shared" si="234"/>
        <v>502.58</v>
      </c>
      <c r="AD275" s="261">
        <f>VLOOKUP($A275,[1]Planilha!$A$18:$BK$553,49,FALSE)</f>
        <v>502.58</v>
      </c>
      <c r="AE275" s="261">
        <f t="shared" si="248"/>
        <v>0</v>
      </c>
      <c r="AF275" s="285">
        <f t="shared" si="235"/>
        <v>694.79</v>
      </c>
      <c r="AG275" s="261">
        <f>VLOOKUP($A275,[1]Planilha!$A$18:$BK$553,57,FALSE)</f>
        <v>694.79</v>
      </c>
      <c r="AH275" s="261">
        <f t="shared" si="249"/>
        <v>0</v>
      </c>
    </row>
    <row r="276" spans="1:34" s="124" customFormat="1">
      <c r="A276" s="232">
        <v>7891721026270</v>
      </c>
      <c r="B276" s="126">
        <v>1008903500052</v>
      </c>
      <c r="C276" s="121" t="s">
        <v>696</v>
      </c>
      <c r="D276" s="92" t="s">
        <v>692</v>
      </c>
      <c r="E276" s="284">
        <f t="shared" si="254"/>
        <v>1105.67</v>
      </c>
      <c r="F276" s="261">
        <f>VLOOKUP($A276,[1]Planilha!$A$18:$BK$553,54,FALSE)</f>
        <v>1092.02</v>
      </c>
      <c r="G276" s="261">
        <f t="shared" si="240"/>
        <v>13.650000000000091</v>
      </c>
      <c r="H276" s="284">
        <f t="shared" si="255"/>
        <v>1528.52</v>
      </c>
      <c r="I276" s="261">
        <f>VLOOKUP($A276,[1]Planilha!$A$18:$BK$553,62,FALSE)</f>
        <v>1528.52</v>
      </c>
      <c r="J276" s="261">
        <f t="shared" si="241"/>
        <v>0</v>
      </c>
      <c r="K276" s="389">
        <f>VLOOKUP(A276,[2]Plan1!$H$2:$J$279,3,FALSE)</f>
        <v>1078.7</v>
      </c>
      <c r="L276" s="261">
        <f>VLOOKUP($A276,[1]Planilha!$A$18:$BK$553,52,FALSE)</f>
        <v>1078.7</v>
      </c>
      <c r="M276" s="261">
        <f t="shared" si="242"/>
        <v>0</v>
      </c>
      <c r="N276" s="391">
        <f t="shared" si="253"/>
        <v>1491.24</v>
      </c>
      <c r="O276" s="261">
        <f>VLOOKUP($A276,[1]Planilha!$A$18:$BK$553,60,FALSE)</f>
        <v>1491.24</v>
      </c>
      <c r="P276" s="261">
        <f t="shared" si="243"/>
        <v>0</v>
      </c>
      <c r="Q276" s="284">
        <f t="shared" si="230"/>
        <v>1072.1600000000001</v>
      </c>
      <c r="R276" s="261">
        <f>VLOOKUP($A276,[1]Planilha!$A$18:$BK$553,51,FALSE)</f>
        <v>1072.1600000000001</v>
      </c>
      <c r="S276" s="261">
        <f t="shared" si="244"/>
        <v>0</v>
      </c>
      <c r="T276" s="284">
        <f t="shared" si="231"/>
        <v>1482.2</v>
      </c>
      <c r="U276" s="261">
        <f>VLOOKUP($A276,[1]Planilha!$A$18:$BK$553,59,FALSE)</f>
        <v>1482.2</v>
      </c>
      <c r="V276" s="261">
        <f t="shared" si="245"/>
        <v>0</v>
      </c>
      <c r="W276" s="284">
        <f t="shared" si="232"/>
        <v>1065.7</v>
      </c>
      <c r="X276" s="261">
        <f>VLOOKUP($A276,[1]Planilha!$A$18:$BK$553,50,FALSE)</f>
        <v>1065.7</v>
      </c>
      <c r="Y276" s="261">
        <f t="shared" si="246"/>
        <v>0</v>
      </c>
      <c r="Z276" s="284">
        <f t="shared" si="233"/>
        <v>1473.27</v>
      </c>
      <c r="AA276" s="261">
        <f>VLOOKUP($A276,[1]Planilha!$A$18:$BK$553,58,FALSE)</f>
        <v>1473.27</v>
      </c>
      <c r="AB276" s="261">
        <f t="shared" si="247"/>
        <v>0</v>
      </c>
      <c r="AC276" s="284">
        <f t="shared" si="234"/>
        <v>1005.15</v>
      </c>
      <c r="AD276" s="261">
        <f>VLOOKUP($A276,[1]Planilha!$A$18:$BK$553,49,FALSE)</f>
        <v>1005.15</v>
      </c>
      <c r="AE276" s="261">
        <f t="shared" si="248"/>
        <v>0</v>
      </c>
      <c r="AF276" s="285">
        <f t="shared" si="235"/>
        <v>1389.56</v>
      </c>
      <c r="AG276" s="261">
        <f>VLOOKUP($A276,[1]Planilha!$A$18:$BK$553,57,FALSE)</f>
        <v>1389.56</v>
      </c>
      <c r="AH276" s="261">
        <f t="shared" si="249"/>
        <v>0</v>
      </c>
    </row>
    <row r="277" spans="1:34" s="124" customFormat="1">
      <c r="A277" s="232">
        <v>7891721026287</v>
      </c>
      <c r="B277" s="126">
        <v>1008903500060</v>
      </c>
      <c r="C277" s="121" t="s">
        <v>694</v>
      </c>
      <c r="D277" s="92" t="s">
        <v>693</v>
      </c>
      <c r="E277" s="289">
        <f t="shared" si="254"/>
        <v>1842.78</v>
      </c>
      <c r="F277" s="261">
        <f>VLOOKUP($A277,[1]Planilha!$A$18:$BK$553,54,FALSE)</f>
        <v>1820.03</v>
      </c>
      <c r="G277" s="261">
        <f t="shared" si="240"/>
        <v>22.75</v>
      </c>
      <c r="H277" s="289">
        <f t="shared" si="255"/>
        <v>2547.54</v>
      </c>
      <c r="I277" s="261">
        <f>VLOOKUP($A277,[1]Planilha!$A$18:$BK$553,62,FALSE)</f>
        <v>2547.54</v>
      </c>
      <c r="J277" s="261">
        <f t="shared" si="241"/>
        <v>0</v>
      </c>
      <c r="K277" s="389">
        <f>VLOOKUP(A277,[2]Plan1!$H$2:$J$279,3,FALSE)</f>
        <v>1797.83</v>
      </c>
      <c r="L277" s="261">
        <f>VLOOKUP($A277,[1]Planilha!$A$18:$BK$553,52,FALSE)</f>
        <v>1797.83</v>
      </c>
      <c r="M277" s="261">
        <f t="shared" si="242"/>
        <v>0</v>
      </c>
      <c r="N277" s="390">
        <f t="shared" si="253"/>
        <v>2485.39</v>
      </c>
      <c r="O277" s="261">
        <f>VLOOKUP($A277,[1]Planilha!$A$18:$BK$553,60,FALSE)</f>
        <v>2485.39</v>
      </c>
      <c r="P277" s="261">
        <f t="shared" si="243"/>
        <v>0</v>
      </c>
      <c r="Q277" s="289">
        <f t="shared" si="230"/>
        <v>1786.93</v>
      </c>
      <c r="R277" s="261">
        <f>VLOOKUP($A277,[1]Planilha!$A$18:$BK$553,51,FALSE)</f>
        <v>1786.93</v>
      </c>
      <c r="S277" s="261">
        <f t="shared" si="244"/>
        <v>0</v>
      </c>
      <c r="T277" s="289">
        <f t="shared" si="231"/>
        <v>2470.33</v>
      </c>
      <c r="U277" s="261">
        <f>VLOOKUP($A277,[1]Planilha!$A$18:$BK$553,59,FALSE)</f>
        <v>2470.33</v>
      </c>
      <c r="V277" s="261">
        <f t="shared" si="245"/>
        <v>0</v>
      </c>
      <c r="W277" s="289">
        <f t="shared" si="232"/>
        <v>1776.17</v>
      </c>
      <c r="X277" s="261">
        <f>VLOOKUP($A277,[1]Planilha!$A$18:$BK$553,50,FALSE)</f>
        <v>1776.17</v>
      </c>
      <c r="Y277" s="261">
        <f t="shared" si="246"/>
        <v>0</v>
      </c>
      <c r="Z277" s="289">
        <f t="shared" si="233"/>
        <v>2455.4499999999998</v>
      </c>
      <c r="AA277" s="261">
        <f>VLOOKUP($A277,[1]Planilha!$A$18:$BK$553,58,FALSE)</f>
        <v>2455.4499999999998</v>
      </c>
      <c r="AB277" s="261">
        <f t="shared" si="247"/>
        <v>0</v>
      </c>
      <c r="AC277" s="289">
        <f t="shared" si="234"/>
        <v>1675.25</v>
      </c>
      <c r="AD277" s="261">
        <f>VLOOKUP($A277,[1]Planilha!$A$18:$BK$553,49,FALSE)</f>
        <v>1675.25</v>
      </c>
      <c r="AE277" s="261">
        <f t="shared" si="248"/>
        <v>0</v>
      </c>
      <c r="AF277" s="290">
        <f t="shared" si="235"/>
        <v>2315.9299999999998</v>
      </c>
      <c r="AG277" s="261">
        <f>VLOOKUP($A277,[1]Planilha!$A$18:$BK$553,57,FALSE)</f>
        <v>2315.9299999999998</v>
      </c>
      <c r="AH277" s="261">
        <f t="shared" si="249"/>
        <v>0</v>
      </c>
    </row>
    <row r="278" spans="1:34" s="124" customFormat="1" ht="15">
      <c r="A278" s="414"/>
      <c r="B278" s="105" t="s">
        <v>487</v>
      </c>
      <c r="C278" s="105"/>
      <c r="D278" s="106"/>
      <c r="E278" s="286"/>
      <c r="F278" s="261" t="e">
        <f>VLOOKUP($A278,[1]Planilha!$A$18:$BK$553,54,FALSE)</f>
        <v>#N/A</v>
      </c>
      <c r="G278" s="261" t="e">
        <f t="shared" si="240"/>
        <v>#N/A</v>
      </c>
      <c r="H278" s="287"/>
      <c r="I278" s="261" t="e">
        <f>VLOOKUP($A278,[1]Planilha!$A$18:$BK$553,62,FALSE)</f>
        <v>#N/A</v>
      </c>
      <c r="J278" s="261" t="e">
        <f t="shared" si="241"/>
        <v>#N/A</v>
      </c>
      <c r="K278" s="389"/>
      <c r="L278" s="261" t="e">
        <f>VLOOKUP($A278,[1]Planilha!$A$18:$BK$553,52,FALSE)</f>
        <v>#N/A</v>
      </c>
      <c r="M278" s="261" t="e">
        <f t="shared" si="242"/>
        <v>#N/A</v>
      </c>
      <c r="N278" s="388"/>
      <c r="O278" s="261" t="e">
        <f>VLOOKUP($A278,[1]Planilha!$A$18:$BK$553,60,FALSE)</f>
        <v>#N/A</v>
      </c>
      <c r="P278" s="261" t="e">
        <f t="shared" si="243"/>
        <v>#N/A</v>
      </c>
      <c r="Q278" s="286"/>
      <c r="R278" s="261" t="e">
        <f>VLOOKUP($A278,[1]Planilha!$A$18:$BK$553,51,FALSE)</f>
        <v>#N/A</v>
      </c>
      <c r="S278" s="261" t="e">
        <f t="shared" si="244"/>
        <v>#N/A</v>
      </c>
      <c r="T278" s="287"/>
      <c r="U278" s="261" t="e">
        <f>VLOOKUP($A278,[1]Planilha!$A$18:$BK$553,59,FALSE)</f>
        <v>#N/A</v>
      </c>
      <c r="V278" s="261" t="e">
        <f t="shared" si="245"/>
        <v>#N/A</v>
      </c>
      <c r="W278" s="286"/>
      <c r="X278" s="261" t="e">
        <f>VLOOKUP($A278,[1]Planilha!$A$18:$BK$553,50,FALSE)</f>
        <v>#N/A</v>
      </c>
      <c r="Y278" s="261" t="e">
        <f t="shared" si="246"/>
        <v>#N/A</v>
      </c>
      <c r="Z278" s="287"/>
      <c r="AA278" s="261" t="e">
        <f>VLOOKUP($A278,[1]Planilha!$A$18:$BK$553,58,FALSE)</f>
        <v>#N/A</v>
      </c>
      <c r="AB278" s="261" t="e">
        <f t="shared" si="247"/>
        <v>#N/A</v>
      </c>
      <c r="AC278" s="286"/>
      <c r="AD278" s="261" t="e">
        <f>VLOOKUP($A278,[1]Planilha!$A$18:$BK$553,49,FALSE)</f>
        <v>#N/A</v>
      </c>
      <c r="AE278" s="261" t="e">
        <f t="shared" si="248"/>
        <v>#N/A</v>
      </c>
      <c r="AF278" s="288"/>
      <c r="AG278" s="261" t="e">
        <f>VLOOKUP($A278,[1]Planilha!$A$18:$BK$553,57,FALSE)</f>
        <v>#N/A</v>
      </c>
      <c r="AH278" s="261" t="e">
        <f t="shared" si="249"/>
        <v>#N/A</v>
      </c>
    </row>
    <row r="279" spans="1:34" s="124" customFormat="1">
      <c r="A279" s="232">
        <v>7891721022449</v>
      </c>
      <c r="B279" s="126">
        <v>1008903520010</v>
      </c>
      <c r="C279" s="121" t="s">
        <v>478</v>
      </c>
      <c r="D279" s="214" t="s">
        <v>644</v>
      </c>
      <c r="E279" s="282">
        <f t="shared" ref="E279:E280" si="256">ROUND(K279*1.025,2)</f>
        <v>39.01</v>
      </c>
      <c r="F279" s="261">
        <f>VLOOKUP($A279,[1]Planilha!$A$18:$BK$553,54,FALSE)</f>
        <v>38.53</v>
      </c>
      <c r="G279" s="261">
        <f t="shared" si="240"/>
        <v>0.47999999999999687</v>
      </c>
      <c r="H279" s="282">
        <f t="shared" ref="H279:H280" si="257">ROUND(E279/0.723358,2)</f>
        <v>53.93</v>
      </c>
      <c r="I279" s="261">
        <f>VLOOKUP($A279,[1]Planilha!$A$18:$BK$553,62,FALSE)</f>
        <v>53.93</v>
      </c>
      <c r="J279" s="261">
        <f t="shared" si="241"/>
        <v>0</v>
      </c>
      <c r="K279" s="389">
        <f>VLOOKUP(A279,[2]Plan1!$H$2:$J$279,3,FALSE)</f>
        <v>38.060679999999998</v>
      </c>
      <c r="L279" s="261">
        <f>VLOOKUP($A279,[1]Planilha!$A$18:$BK$553,52,FALSE)</f>
        <v>38.06</v>
      </c>
      <c r="M279" s="261">
        <f t="shared" si="242"/>
        <v>6.7999999999557303E-4</v>
      </c>
      <c r="N279" s="389">
        <f t="shared" ref="N279:N280" si="258">ROUND(K279/0.723358,2)</f>
        <v>52.62</v>
      </c>
      <c r="O279" s="261">
        <f>VLOOKUP($A279,[1]Planilha!$A$18:$BK$553,60,FALSE)</f>
        <v>52.62</v>
      </c>
      <c r="P279" s="261">
        <f t="shared" si="243"/>
        <v>0</v>
      </c>
      <c r="Q279" s="282">
        <f t="shared" si="230"/>
        <v>37.83</v>
      </c>
      <c r="R279" s="261">
        <f>VLOOKUP($A279,[1]Planilha!$A$18:$BK$553,51,FALSE)</f>
        <v>37.83</v>
      </c>
      <c r="S279" s="261">
        <f t="shared" si="244"/>
        <v>0</v>
      </c>
      <c r="T279" s="282">
        <f t="shared" si="231"/>
        <v>52.3</v>
      </c>
      <c r="U279" s="261">
        <f>VLOOKUP($A279,[1]Planilha!$A$18:$BK$553,59,FALSE)</f>
        <v>52.3</v>
      </c>
      <c r="V279" s="261">
        <f t="shared" si="245"/>
        <v>0</v>
      </c>
      <c r="W279" s="282">
        <f t="shared" si="232"/>
        <v>37.6</v>
      </c>
      <c r="X279" s="261">
        <f>VLOOKUP($A279,[1]Planilha!$A$18:$BK$553,50,FALSE)</f>
        <v>37.6</v>
      </c>
      <c r="Y279" s="261">
        <f t="shared" si="246"/>
        <v>0</v>
      </c>
      <c r="Z279" s="282">
        <f t="shared" si="233"/>
        <v>51.98</v>
      </c>
      <c r="AA279" s="261">
        <f>VLOOKUP($A279,[1]Planilha!$A$18:$BK$553,58,FALSE)</f>
        <v>51.98</v>
      </c>
      <c r="AB279" s="261">
        <f t="shared" si="247"/>
        <v>0</v>
      </c>
      <c r="AC279" s="492">
        <v>35.46</v>
      </c>
      <c r="AD279" s="261">
        <f>VLOOKUP($A279,[1]Planilha!$A$18:$BK$553,49,FALSE)</f>
        <v>35.46</v>
      </c>
      <c r="AE279" s="261">
        <f t="shared" si="248"/>
        <v>0</v>
      </c>
      <c r="AF279" s="283">
        <f t="shared" si="235"/>
        <v>49.02</v>
      </c>
      <c r="AG279" s="261">
        <f>VLOOKUP($A279,[1]Planilha!$A$18:$BK$553,57,FALSE)</f>
        <v>49.02</v>
      </c>
      <c r="AH279" s="261">
        <f t="shared" si="249"/>
        <v>0</v>
      </c>
    </row>
    <row r="280" spans="1:34" s="124" customFormat="1">
      <c r="A280" s="232">
        <v>7891721022456</v>
      </c>
      <c r="B280" s="126">
        <v>1008903520029</v>
      </c>
      <c r="C280" s="121" t="s">
        <v>479</v>
      </c>
      <c r="D280" s="92" t="s">
        <v>645</v>
      </c>
      <c r="E280" s="284">
        <f t="shared" si="256"/>
        <v>103.32</v>
      </c>
      <c r="F280" s="261">
        <f>VLOOKUP($A280,[1]Planilha!$A$18:$BK$553,54,FALSE)</f>
        <v>102.05</v>
      </c>
      <c r="G280" s="261">
        <f t="shared" si="240"/>
        <v>1.269999999999996</v>
      </c>
      <c r="H280" s="284">
        <f t="shared" si="257"/>
        <v>142.83000000000001</v>
      </c>
      <c r="I280" s="261">
        <f>VLOOKUP($A280,[1]Planilha!$A$18:$BK$553,62,FALSE)</f>
        <v>142.83000000000001</v>
      </c>
      <c r="J280" s="261">
        <f t="shared" si="241"/>
        <v>0</v>
      </c>
      <c r="K280" s="389">
        <f>VLOOKUP(A280,[2]Plan1!$H$2:$J$279,3,FALSE)</f>
        <v>100.80252000000002</v>
      </c>
      <c r="L280" s="261">
        <f>VLOOKUP($A280,[1]Planilha!$A$18:$BK$553,52,FALSE)</f>
        <v>100.8</v>
      </c>
      <c r="M280" s="261">
        <f t="shared" si="242"/>
        <v>2.5200000000182854E-3</v>
      </c>
      <c r="N280" s="391">
        <f t="shared" si="258"/>
        <v>139.35</v>
      </c>
      <c r="O280" s="261">
        <f>VLOOKUP($A280,[1]Planilha!$A$18:$BK$553,60,FALSE)</f>
        <v>139.35</v>
      </c>
      <c r="P280" s="261">
        <f t="shared" si="243"/>
        <v>0</v>
      </c>
      <c r="Q280" s="284">
        <f t="shared" si="230"/>
        <v>100.19</v>
      </c>
      <c r="R280" s="261">
        <f>VLOOKUP($A280,[1]Planilha!$A$18:$BK$553,51,FALSE)</f>
        <v>100.19</v>
      </c>
      <c r="S280" s="261">
        <f t="shared" si="244"/>
        <v>0</v>
      </c>
      <c r="T280" s="284">
        <f t="shared" si="231"/>
        <v>138.51</v>
      </c>
      <c r="U280" s="261">
        <f>VLOOKUP($A280,[1]Planilha!$A$18:$BK$553,59,FALSE)</f>
        <v>138.51</v>
      </c>
      <c r="V280" s="261">
        <f t="shared" si="245"/>
        <v>0</v>
      </c>
      <c r="W280" s="284">
        <f t="shared" si="232"/>
        <v>99.59</v>
      </c>
      <c r="X280" s="261">
        <f>VLOOKUP($A280,[1]Planilha!$A$18:$BK$553,50,FALSE)</f>
        <v>99.59</v>
      </c>
      <c r="Y280" s="261">
        <f t="shared" si="246"/>
        <v>0</v>
      </c>
      <c r="Z280" s="284">
        <f t="shared" si="233"/>
        <v>137.68</v>
      </c>
      <c r="AA280" s="261">
        <f>VLOOKUP($A280,[1]Planilha!$A$18:$BK$553,58,FALSE)</f>
        <v>137.68</v>
      </c>
      <c r="AB280" s="261">
        <f t="shared" si="247"/>
        <v>0</v>
      </c>
      <c r="AC280" s="284">
        <f t="shared" si="234"/>
        <v>93.93</v>
      </c>
      <c r="AD280" s="261">
        <f>VLOOKUP($A280,[1]Planilha!$A$18:$BK$553,49,FALSE)</f>
        <v>93.93</v>
      </c>
      <c r="AE280" s="261">
        <f t="shared" si="248"/>
        <v>0</v>
      </c>
      <c r="AF280" s="285">
        <f t="shared" si="235"/>
        <v>129.85</v>
      </c>
      <c r="AG280" s="261">
        <f>VLOOKUP($A280,[1]Planilha!$A$18:$BK$553,57,FALSE)</f>
        <v>129.85</v>
      </c>
      <c r="AH280" s="261">
        <f t="shared" si="249"/>
        <v>0</v>
      </c>
    </row>
    <row r="281" spans="1:34" s="124" customFormat="1" ht="15">
      <c r="A281" s="414"/>
      <c r="B281" s="415" t="s">
        <v>486</v>
      </c>
      <c r="C281" s="415"/>
      <c r="D281" s="416"/>
      <c r="E281" s="417"/>
      <c r="F281" s="261" t="e">
        <f>VLOOKUP($A281,[1]Planilha!$A$18:$BK$553,54,FALSE)</f>
        <v>#N/A</v>
      </c>
      <c r="G281" s="261" t="e">
        <f t="shared" si="240"/>
        <v>#N/A</v>
      </c>
      <c r="H281" s="418"/>
      <c r="I281" s="261" t="e">
        <f>VLOOKUP($A281,[1]Planilha!$A$18:$BK$553,62,FALSE)</f>
        <v>#N/A</v>
      </c>
      <c r="J281" s="261" t="e">
        <f t="shared" si="241"/>
        <v>#N/A</v>
      </c>
      <c r="K281" s="412"/>
      <c r="L281" s="261" t="e">
        <f>VLOOKUP($A281,[1]Planilha!$A$18:$BK$553,52,FALSE)</f>
        <v>#N/A</v>
      </c>
      <c r="M281" s="261" t="e">
        <f t="shared" si="242"/>
        <v>#N/A</v>
      </c>
      <c r="N281" s="419"/>
      <c r="O281" s="261" t="e">
        <f>VLOOKUP($A281,[1]Planilha!$A$18:$BK$553,60,FALSE)</f>
        <v>#N/A</v>
      </c>
      <c r="P281" s="261" t="e">
        <f t="shared" si="243"/>
        <v>#N/A</v>
      </c>
      <c r="Q281" s="417"/>
      <c r="R281" s="261" t="e">
        <f>VLOOKUP($A281,[1]Planilha!$A$18:$BK$553,51,FALSE)</f>
        <v>#N/A</v>
      </c>
      <c r="S281" s="261" t="e">
        <f t="shared" si="244"/>
        <v>#N/A</v>
      </c>
      <c r="T281" s="418"/>
      <c r="U281" s="261" t="e">
        <f>VLOOKUP($A281,[1]Planilha!$A$18:$BK$553,59,FALSE)</f>
        <v>#N/A</v>
      </c>
      <c r="V281" s="261" t="e">
        <f t="shared" si="245"/>
        <v>#N/A</v>
      </c>
      <c r="W281" s="417"/>
      <c r="X281" s="261" t="e">
        <f>VLOOKUP($A281,[1]Planilha!$A$18:$BK$553,50,FALSE)</f>
        <v>#N/A</v>
      </c>
      <c r="Y281" s="261" t="e">
        <f t="shared" si="246"/>
        <v>#N/A</v>
      </c>
      <c r="Z281" s="418"/>
      <c r="AA281" s="261" t="e">
        <f>VLOOKUP($A281,[1]Planilha!$A$18:$BK$553,58,FALSE)</f>
        <v>#N/A</v>
      </c>
      <c r="AB281" s="261" t="e">
        <f t="shared" si="247"/>
        <v>#N/A</v>
      </c>
      <c r="AC281" s="417"/>
      <c r="AD281" s="261" t="e">
        <f>VLOOKUP($A281,[1]Planilha!$A$18:$BK$553,49,FALSE)</f>
        <v>#N/A</v>
      </c>
      <c r="AE281" s="261" t="e">
        <f t="shared" si="248"/>
        <v>#N/A</v>
      </c>
      <c r="AF281" s="420"/>
      <c r="AG281" s="261" t="e">
        <f>VLOOKUP($A281,[1]Planilha!$A$18:$BK$553,57,FALSE)</f>
        <v>#N/A</v>
      </c>
      <c r="AH281" s="261" t="e">
        <f t="shared" si="249"/>
        <v>#N/A</v>
      </c>
    </row>
    <row r="282" spans="1:34" s="124" customFormat="1" ht="13.5" thickBot="1">
      <c r="A282" s="683">
        <v>7898106030556</v>
      </c>
      <c r="B282" s="408">
        <v>1008903820014</v>
      </c>
      <c r="C282" s="408" t="s">
        <v>477</v>
      </c>
      <c r="D282" s="424" t="s">
        <v>638</v>
      </c>
      <c r="E282" s="425">
        <f>ROUND(K282*1.025,2)</f>
        <v>813.01</v>
      </c>
      <c r="F282" s="496">
        <f>VLOOKUP($A282,[1]Planilha!$A$18:$BK$553,54,FALSE)</f>
        <v>802.98</v>
      </c>
      <c r="G282" s="496">
        <f t="shared" si="240"/>
        <v>10.029999999999973</v>
      </c>
      <c r="H282" s="426" t="s">
        <v>563</v>
      </c>
      <c r="I282" s="496">
        <f>VLOOKUP($A282,[1]Planilha!$A$18:$BK$553,62,FALSE)</f>
        <v>1123.94</v>
      </c>
      <c r="J282" s="496" t="e">
        <f t="shared" si="241"/>
        <v>#VALUE!</v>
      </c>
      <c r="K282" s="412">
        <v>793.18254400000001</v>
      </c>
      <c r="L282" s="496">
        <f>VLOOKUP($A282,[1]Planilha!$A$18:$BK$553,52,FALSE)</f>
        <v>793.18</v>
      </c>
      <c r="M282" s="496">
        <f t="shared" si="242"/>
        <v>2.5440000000571672E-3</v>
      </c>
      <c r="N282" s="427">
        <v>0</v>
      </c>
      <c r="O282" s="496">
        <f>VLOOKUP($A282,[1]Planilha!$A$18:$BK$553,60,FALSE)</f>
        <v>1096.53</v>
      </c>
      <c r="P282" s="496">
        <f t="shared" si="243"/>
        <v>-1096.53</v>
      </c>
      <c r="Q282" s="499">
        <v>788.37</v>
      </c>
      <c r="R282" s="496">
        <f>VLOOKUP($A282,[1]Planilha!$A$18:$BK$553,51,FALSE)</f>
        <v>788.37</v>
      </c>
      <c r="S282" s="496">
        <f t="shared" si="244"/>
        <v>0</v>
      </c>
      <c r="T282" s="426" t="s">
        <v>563</v>
      </c>
      <c r="U282" s="496">
        <f>VLOOKUP($A282,[1]Planilha!$A$18:$BK$553,59,FALSE)</f>
        <v>1089.8800000000001</v>
      </c>
      <c r="V282" s="496" t="e">
        <f t="shared" si="245"/>
        <v>#VALUE!</v>
      </c>
      <c r="W282" s="425">
        <f t="shared" si="232"/>
        <v>783.63</v>
      </c>
      <c r="X282" s="496">
        <f>VLOOKUP($A282,[1]Planilha!$A$18:$BK$553,50,FALSE)</f>
        <v>783.63</v>
      </c>
      <c r="Y282" s="496">
        <f t="shared" si="246"/>
        <v>0</v>
      </c>
      <c r="Z282" s="426" t="s">
        <v>563</v>
      </c>
      <c r="AA282" s="496">
        <f>VLOOKUP($A282,[1]Planilha!$A$18:$BK$553,58,FALSE)</f>
        <v>1083.32</v>
      </c>
      <c r="AB282" s="496" t="e">
        <f t="shared" si="247"/>
        <v>#VALUE!</v>
      </c>
      <c r="AC282" s="425">
        <f t="shared" si="234"/>
        <v>739.1</v>
      </c>
      <c r="AD282" s="496">
        <f>VLOOKUP($A282,[1]Planilha!$A$18:$BK$553,49,FALSE)</f>
        <v>739.1</v>
      </c>
      <c r="AE282" s="496">
        <f t="shared" si="248"/>
        <v>0</v>
      </c>
      <c r="AF282" s="428" t="s">
        <v>563</v>
      </c>
      <c r="AG282" s="496">
        <f>VLOOKUP($A282,[1]Planilha!$A$18:$BK$553,57,FALSE)</f>
        <v>1021.76</v>
      </c>
      <c r="AH282" s="496" t="e">
        <f t="shared" si="249"/>
        <v>#VALUE!</v>
      </c>
    </row>
    <row r="283" spans="1:34" s="124" customFormat="1" ht="18.75" customHeight="1" thickBot="1">
      <c r="A283" s="680" t="s">
        <v>295</v>
      </c>
      <c r="B283" s="452" t="s">
        <v>294</v>
      </c>
      <c r="C283" s="452"/>
      <c r="D283" s="453"/>
      <c r="E283" s="454" t="s">
        <v>741</v>
      </c>
      <c r="F283" s="261" t="e">
        <f>VLOOKUP($A283,[1]Planilha!$A$18:$BK$553,54,FALSE)</f>
        <v>#N/A</v>
      </c>
      <c r="G283" s="261" t="e">
        <f t="shared" si="240"/>
        <v>#VALUE!</v>
      </c>
      <c r="H283" s="455"/>
      <c r="I283" s="261" t="e">
        <f>VLOOKUP($A283,[1]Planilha!$A$18:$BK$553,62,FALSE)</f>
        <v>#N/A</v>
      </c>
      <c r="J283" s="261" t="e">
        <f t="shared" si="241"/>
        <v>#N/A</v>
      </c>
      <c r="K283" s="460" t="s">
        <v>292</v>
      </c>
      <c r="L283" s="261" t="e">
        <f>VLOOKUP($A283,[1]Planilha!$A$18:$BK$553,52,FALSE)</f>
        <v>#N/A</v>
      </c>
      <c r="M283" s="261" t="e">
        <f t="shared" si="242"/>
        <v>#VALUE!</v>
      </c>
      <c r="N283" s="461"/>
      <c r="O283" s="261" t="e">
        <f>VLOOKUP($A283,[1]Planilha!$A$18:$BK$553,60,FALSE)</f>
        <v>#N/A</v>
      </c>
      <c r="P283" s="261" t="e">
        <f t="shared" si="243"/>
        <v>#N/A</v>
      </c>
      <c r="Q283" s="454" t="s">
        <v>740</v>
      </c>
      <c r="R283" s="261" t="e">
        <f>VLOOKUP($A283,[1]Planilha!$A$18:$BK$553,51,FALSE)</f>
        <v>#N/A</v>
      </c>
      <c r="S283" s="261" t="e">
        <f t="shared" si="244"/>
        <v>#VALUE!</v>
      </c>
      <c r="T283" s="455"/>
      <c r="U283" s="261" t="e">
        <f>VLOOKUP($A283,[1]Planilha!$A$18:$BK$553,59,FALSE)</f>
        <v>#N/A</v>
      </c>
      <c r="V283" s="261" t="e">
        <f t="shared" si="245"/>
        <v>#N/A</v>
      </c>
      <c r="W283" s="454" t="s">
        <v>293</v>
      </c>
      <c r="X283" s="261" t="e">
        <f>VLOOKUP($A283,[1]Planilha!$A$18:$BK$553,50,FALSE)</f>
        <v>#N/A</v>
      </c>
      <c r="Y283" s="261" t="e">
        <f t="shared" si="246"/>
        <v>#VALUE!</v>
      </c>
      <c r="Z283" s="455"/>
      <c r="AA283" s="261" t="e">
        <f>VLOOKUP($A283,[1]Planilha!$A$18:$BK$553,58,FALSE)</f>
        <v>#N/A</v>
      </c>
      <c r="AB283" s="261" t="e">
        <f t="shared" si="247"/>
        <v>#N/A</v>
      </c>
      <c r="AC283" s="454" t="s">
        <v>322</v>
      </c>
      <c r="AD283" s="261" t="e">
        <f>VLOOKUP($A283,[1]Planilha!$A$18:$BK$553,49,FALSE)</f>
        <v>#N/A</v>
      </c>
      <c r="AE283" s="261" t="e">
        <f t="shared" si="248"/>
        <v>#VALUE!</v>
      </c>
      <c r="AF283" s="459"/>
      <c r="AG283" s="261" t="e">
        <f>VLOOKUP($A283,[1]Planilha!$A$18:$BK$553,57,FALSE)</f>
        <v>#N/A</v>
      </c>
      <c r="AH283" s="261" t="e">
        <f t="shared" si="249"/>
        <v>#N/A</v>
      </c>
    </row>
    <row r="284" spans="1:34" s="124" customFormat="1" ht="12.75" customHeight="1">
      <c r="A284" s="449" t="s">
        <v>296</v>
      </c>
      <c r="B284" s="173" t="s">
        <v>13</v>
      </c>
      <c r="C284" s="119" t="s">
        <v>83</v>
      </c>
      <c r="D284" s="101"/>
      <c r="E284" s="199" t="s">
        <v>81</v>
      </c>
      <c r="F284" s="261" t="e">
        <f>VLOOKUP($A284,[1]Planilha!$A$18:$BK$553,54,FALSE)</f>
        <v>#N/A</v>
      </c>
      <c r="G284" s="261" t="e">
        <f t="shared" si="240"/>
        <v>#VALUE!</v>
      </c>
      <c r="H284" s="200" t="s">
        <v>82</v>
      </c>
      <c r="I284" s="261" t="e">
        <f>VLOOKUP($A284,[1]Planilha!$A$18:$BK$553,62,FALSE)</f>
        <v>#N/A</v>
      </c>
      <c r="J284" s="261" t="e">
        <f t="shared" si="241"/>
        <v>#VALUE!</v>
      </c>
      <c r="K284" s="199" t="s">
        <v>81</v>
      </c>
      <c r="L284" s="261" t="e">
        <f>VLOOKUP($A284,[1]Planilha!$A$18:$BK$553,52,FALSE)</f>
        <v>#N/A</v>
      </c>
      <c r="M284" s="261" t="e">
        <f t="shared" si="242"/>
        <v>#VALUE!</v>
      </c>
      <c r="N284" s="200" t="s">
        <v>82</v>
      </c>
      <c r="O284" s="261" t="e">
        <f>VLOOKUP($A284,[1]Planilha!$A$18:$BK$553,60,FALSE)</f>
        <v>#N/A</v>
      </c>
      <c r="P284" s="261" t="e">
        <f t="shared" si="243"/>
        <v>#VALUE!</v>
      </c>
      <c r="Q284" s="199" t="s">
        <v>81</v>
      </c>
      <c r="R284" s="261" t="e">
        <f>VLOOKUP($A284,[1]Planilha!$A$18:$BK$553,51,FALSE)</f>
        <v>#N/A</v>
      </c>
      <c r="S284" s="261" t="e">
        <f t="shared" si="244"/>
        <v>#VALUE!</v>
      </c>
      <c r="T284" s="200" t="s">
        <v>82</v>
      </c>
      <c r="U284" s="261" t="e">
        <f>VLOOKUP($A284,[1]Planilha!$A$18:$BK$553,59,FALSE)</f>
        <v>#N/A</v>
      </c>
      <c r="V284" s="261" t="e">
        <f t="shared" si="245"/>
        <v>#VALUE!</v>
      </c>
      <c r="W284" s="199" t="s">
        <v>81</v>
      </c>
      <c r="X284" s="261" t="e">
        <f>VLOOKUP($A284,[1]Planilha!$A$18:$BK$553,50,FALSE)</f>
        <v>#N/A</v>
      </c>
      <c r="Y284" s="261" t="e">
        <f t="shared" si="246"/>
        <v>#VALUE!</v>
      </c>
      <c r="Z284" s="200" t="s">
        <v>82</v>
      </c>
      <c r="AA284" s="261" t="e">
        <f>VLOOKUP($A284,[1]Planilha!$A$18:$BK$553,58,FALSE)</f>
        <v>#N/A</v>
      </c>
      <c r="AB284" s="261" t="e">
        <f t="shared" si="247"/>
        <v>#VALUE!</v>
      </c>
      <c r="AC284" s="199" t="s">
        <v>81</v>
      </c>
      <c r="AD284" s="261" t="e">
        <f>VLOOKUP($A284,[1]Planilha!$A$18:$BK$553,49,FALSE)</f>
        <v>#N/A</v>
      </c>
      <c r="AE284" s="261" t="e">
        <f t="shared" si="248"/>
        <v>#VALUE!</v>
      </c>
      <c r="AF284" s="201" t="s">
        <v>82</v>
      </c>
      <c r="AG284" s="261" t="e">
        <f>VLOOKUP($A284,[1]Planilha!$A$18:$BK$553,57,FALSE)</f>
        <v>#N/A</v>
      </c>
      <c r="AH284" s="261" t="e">
        <f t="shared" si="249"/>
        <v>#VALUE!</v>
      </c>
    </row>
    <row r="285" spans="1:34" s="124" customFormat="1" ht="13.5" customHeight="1" thickBot="1">
      <c r="A285" s="450"/>
      <c r="B285" s="174" t="s">
        <v>14</v>
      </c>
      <c r="C285" s="156" t="s">
        <v>379</v>
      </c>
      <c r="D285" s="157" t="s">
        <v>84</v>
      </c>
      <c r="E285" s="222" t="s">
        <v>85</v>
      </c>
      <c r="F285" s="261" t="e">
        <f>VLOOKUP($A285,[1]Planilha!$A$18:$BK$553,54,FALSE)</f>
        <v>#N/A</v>
      </c>
      <c r="G285" s="261" t="e">
        <f t="shared" si="240"/>
        <v>#VALUE!</v>
      </c>
      <c r="H285" s="223" t="s">
        <v>297</v>
      </c>
      <c r="I285" s="261" t="e">
        <f>VLOOKUP($A285,[1]Planilha!$A$18:$BK$553,62,FALSE)</f>
        <v>#N/A</v>
      </c>
      <c r="J285" s="261" t="e">
        <f t="shared" si="241"/>
        <v>#VALUE!</v>
      </c>
      <c r="K285" s="222" t="s">
        <v>85</v>
      </c>
      <c r="L285" s="261" t="e">
        <f>VLOOKUP($A285,[1]Planilha!$A$18:$BK$553,52,FALSE)</f>
        <v>#N/A</v>
      </c>
      <c r="M285" s="261" t="e">
        <f t="shared" si="242"/>
        <v>#VALUE!</v>
      </c>
      <c r="N285" s="223" t="s">
        <v>297</v>
      </c>
      <c r="O285" s="261" t="e">
        <f>VLOOKUP($A285,[1]Planilha!$A$18:$BK$553,60,FALSE)</f>
        <v>#N/A</v>
      </c>
      <c r="P285" s="261" t="e">
        <f t="shared" si="243"/>
        <v>#VALUE!</v>
      </c>
      <c r="Q285" s="222" t="s">
        <v>85</v>
      </c>
      <c r="R285" s="261" t="e">
        <f>VLOOKUP($A285,[1]Planilha!$A$18:$BK$553,51,FALSE)</f>
        <v>#N/A</v>
      </c>
      <c r="S285" s="261" t="e">
        <f t="shared" si="244"/>
        <v>#VALUE!</v>
      </c>
      <c r="T285" s="223" t="s">
        <v>297</v>
      </c>
      <c r="U285" s="261" t="e">
        <f>VLOOKUP($A285,[1]Planilha!$A$18:$BK$553,59,FALSE)</f>
        <v>#N/A</v>
      </c>
      <c r="V285" s="261" t="e">
        <f t="shared" si="245"/>
        <v>#VALUE!</v>
      </c>
      <c r="W285" s="222" t="s">
        <v>85</v>
      </c>
      <c r="X285" s="261" t="e">
        <f>VLOOKUP($A285,[1]Planilha!$A$18:$BK$553,50,FALSE)</f>
        <v>#N/A</v>
      </c>
      <c r="Y285" s="261" t="e">
        <f t="shared" si="246"/>
        <v>#VALUE!</v>
      </c>
      <c r="Z285" s="223" t="s">
        <v>297</v>
      </c>
      <c r="AA285" s="261" t="e">
        <f>VLOOKUP($A285,[1]Planilha!$A$18:$BK$553,58,FALSE)</f>
        <v>#N/A</v>
      </c>
      <c r="AB285" s="261" t="e">
        <f t="shared" si="247"/>
        <v>#VALUE!</v>
      </c>
      <c r="AC285" s="222" t="s">
        <v>85</v>
      </c>
      <c r="AD285" s="261" t="e">
        <f>VLOOKUP($A285,[1]Planilha!$A$18:$BK$553,49,FALSE)</f>
        <v>#N/A</v>
      </c>
      <c r="AE285" s="261" t="e">
        <f t="shared" si="248"/>
        <v>#VALUE!</v>
      </c>
      <c r="AF285" s="224" t="s">
        <v>297</v>
      </c>
      <c r="AG285" s="261" t="e">
        <f>VLOOKUP($A285,[1]Planilha!$A$18:$BK$553,57,FALSE)</f>
        <v>#N/A</v>
      </c>
      <c r="AH285" s="261" t="e">
        <f t="shared" si="249"/>
        <v>#VALUE!</v>
      </c>
    </row>
    <row r="286" spans="1:34" s="124" customFormat="1" ht="15">
      <c r="A286" s="394"/>
      <c r="B286" s="105" t="s">
        <v>596</v>
      </c>
      <c r="C286" s="105"/>
      <c r="D286" s="106"/>
      <c r="E286" s="186"/>
      <c r="F286" s="261" t="e">
        <f>VLOOKUP($A286,[1]Planilha!$A$18:$BK$553,54,FALSE)</f>
        <v>#N/A</v>
      </c>
      <c r="G286" s="261" t="e">
        <f t="shared" si="240"/>
        <v>#N/A</v>
      </c>
      <c r="H286" s="187"/>
      <c r="I286" s="261" t="e">
        <f>VLOOKUP($A286,[1]Planilha!$A$18:$BK$553,62,FALSE)</f>
        <v>#N/A</v>
      </c>
      <c r="J286" s="261" t="e">
        <f t="shared" si="241"/>
        <v>#N/A</v>
      </c>
      <c r="K286" s="186"/>
      <c r="L286" s="261" t="e">
        <f>VLOOKUP($A286,[1]Planilha!$A$18:$BK$553,52,FALSE)</f>
        <v>#N/A</v>
      </c>
      <c r="M286" s="261" t="e">
        <f t="shared" si="242"/>
        <v>#N/A</v>
      </c>
      <c r="N286" s="187"/>
      <c r="O286" s="261" t="e">
        <f>VLOOKUP($A286,[1]Planilha!$A$18:$BK$553,60,FALSE)</f>
        <v>#N/A</v>
      </c>
      <c r="P286" s="261" t="e">
        <f t="shared" si="243"/>
        <v>#N/A</v>
      </c>
      <c r="Q286" s="186"/>
      <c r="R286" s="261" t="e">
        <f>VLOOKUP($A286,[1]Planilha!$A$18:$BK$553,51,FALSE)</f>
        <v>#N/A</v>
      </c>
      <c r="S286" s="261" t="e">
        <f t="shared" si="244"/>
        <v>#N/A</v>
      </c>
      <c r="T286" s="187"/>
      <c r="U286" s="261" t="e">
        <f>VLOOKUP($A286,[1]Planilha!$A$18:$BK$553,59,FALSE)</f>
        <v>#N/A</v>
      </c>
      <c r="V286" s="261" t="e">
        <f t="shared" si="245"/>
        <v>#N/A</v>
      </c>
      <c r="W286" s="186"/>
      <c r="X286" s="261" t="e">
        <f>VLOOKUP($A286,[1]Planilha!$A$18:$BK$553,50,FALSE)</f>
        <v>#N/A</v>
      </c>
      <c r="Y286" s="261" t="e">
        <f t="shared" si="246"/>
        <v>#N/A</v>
      </c>
      <c r="Z286" s="187"/>
      <c r="AA286" s="261" t="e">
        <f>VLOOKUP($A286,[1]Planilha!$A$18:$BK$553,58,FALSE)</f>
        <v>#N/A</v>
      </c>
      <c r="AB286" s="261" t="e">
        <f t="shared" si="247"/>
        <v>#N/A</v>
      </c>
      <c r="AC286" s="186"/>
      <c r="AD286" s="261" t="e">
        <f>VLOOKUP($A286,[1]Planilha!$A$18:$BK$553,49,FALSE)</f>
        <v>#N/A</v>
      </c>
      <c r="AE286" s="261" t="e">
        <f t="shared" si="248"/>
        <v>#N/A</v>
      </c>
      <c r="AF286" s="190"/>
      <c r="AG286" s="261" t="e">
        <f>VLOOKUP($A286,[1]Planilha!$A$18:$BK$553,57,FALSE)</f>
        <v>#N/A</v>
      </c>
      <c r="AH286" s="261" t="e">
        <f t="shared" si="249"/>
        <v>#N/A</v>
      </c>
    </row>
    <row r="287" spans="1:34" s="124" customFormat="1">
      <c r="A287" s="440">
        <v>7891721024030</v>
      </c>
      <c r="B287" s="135">
        <v>1008903600014</v>
      </c>
      <c r="C287" s="116" t="s">
        <v>595</v>
      </c>
      <c r="D287" s="361" t="s">
        <v>597</v>
      </c>
      <c r="E287" s="319">
        <f>ROUND(K287*1.028952,2)</f>
        <v>290.54000000000002</v>
      </c>
      <c r="F287" s="261">
        <f>VLOOKUP($A287,[1]Planilha!$A$18:$BK$553,54,FALSE)</f>
        <v>286.39999999999998</v>
      </c>
      <c r="G287" s="261">
        <f t="shared" si="240"/>
        <v>4.1400000000000432</v>
      </c>
      <c r="H287" s="319">
        <f>ROUND(E287/0.751296,2)</f>
        <v>386.72</v>
      </c>
      <c r="I287" s="261">
        <f>VLOOKUP($A287,[1]Planilha!$A$18:$BK$553,62,FALSE)</f>
        <v>386.72</v>
      </c>
      <c r="J287" s="261">
        <f t="shared" si="241"/>
        <v>0</v>
      </c>
      <c r="K287" s="392">
        <f>VLOOKUP(A287,[2]Plan1!$H$2:$J$279,3,FALSE)</f>
        <v>282.36868800000002</v>
      </c>
      <c r="L287" s="261">
        <f>VLOOKUP($A287,[1]Planilha!$A$18:$BK$553,52,FALSE)</f>
        <v>282.37</v>
      </c>
      <c r="M287" s="261">
        <f t="shared" si="242"/>
        <v>-1.3119999999844367E-3</v>
      </c>
      <c r="N287" s="392">
        <f>ROUND(K287/0.750577,2)</f>
        <v>376.2</v>
      </c>
      <c r="O287" s="261">
        <f>VLOOKUP($A287,[1]Planilha!$A$18:$BK$553,60,FALSE)</f>
        <v>376.2</v>
      </c>
      <c r="P287" s="261">
        <f t="shared" si="243"/>
        <v>0</v>
      </c>
      <c r="Q287" s="319">
        <f>ROUND(K287*0.993015,2)</f>
        <v>280.39999999999998</v>
      </c>
      <c r="R287" s="261">
        <f>VLOOKUP($A287,[1]Planilha!$A$18:$BK$553,51,FALSE)</f>
        <v>280.39999999999998</v>
      </c>
      <c r="S287" s="261">
        <f t="shared" si="244"/>
        <v>0</v>
      </c>
      <c r="T287" s="319">
        <f>ROUND(Q287/0.750402,2)</f>
        <v>373.67</v>
      </c>
      <c r="U287" s="261">
        <f>VLOOKUP($A287,[1]Planilha!$A$18:$BK$553,59,FALSE)</f>
        <v>373.67</v>
      </c>
      <c r="V287" s="261">
        <f t="shared" si="245"/>
        <v>0</v>
      </c>
      <c r="W287" s="319">
        <f>ROUND(K287*0.986128,2)</f>
        <v>278.45</v>
      </c>
      <c r="X287" s="261">
        <f>VLOOKUP($A287,[1]Planilha!$A$18:$BK$553,50,FALSE)</f>
        <v>278.45</v>
      </c>
      <c r="Y287" s="261">
        <f t="shared" si="246"/>
        <v>0</v>
      </c>
      <c r="Z287" s="319">
        <f>ROUND(W287/0.75023,2)</f>
        <v>371.15</v>
      </c>
      <c r="AA287" s="261">
        <f>VLOOKUP($A287,[1]Planilha!$A$18:$BK$553,58,FALSE)</f>
        <v>371.15</v>
      </c>
      <c r="AB287" s="261">
        <f t="shared" si="247"/>
        <v>0</v>
      </c>
      <c r="AC287" s="319">
        <f>ROUND(K287*0.922175,2)</f>
        <v>260.39</v>
      </c>
      <c r="AD287" s="261">
        <f>VLOOKUP($A287,[1]Planilha!$A$18:$BK$553,49,FALSE)</f>
        <v>260.39</v>
      </c>
      <c r="AE287" s="261">
        <f t="shared" si="248"/>
        <v>0</v>
      </c>
      <c r="AF287" s="320">
        <f>ROUND(AC287/0.748624,2)</f>
        <v>347.82</v>
      </c>
      <c r="AG287" s="261">
        <f>VLOOKUP($A287,[1]Planilha!$A$18:$BK$553,57,FALSE)</f>
        <v>347.82</v>
      </c>
      <c r="AH287" s="261">
        <f t="shared" si="249"/>
        <v>0</v>
      </c>
    </row>
    <row r="288" spans="1:34" s="124" customFormat="1" ht="15">
      <c r="A288" s="394"/>
      <c r="B288" s="105" t="s">
        <v>736</v>
      </c>
      <c r="C288" s="105"/>
      <c r="D288" s="106"/>
      <c r="E288" s="186"/>
      <c r="F288" s="261" t="e">
        <f>VLOOKUP($A288,[1]Planilha!$A$18:$BK$553,54,FALSE)</f>
        <v>#N/A</v>
      </c>
      <c r="G288" s="261" t="e">
        <f t="shared" si="240"/>
        <v>#N/A</v>
      </c>
      <c r="H288" s="187"/>
      <c r="I288" s="261" t="e">
        <f>VLOOKUP($A288,[1]Planilha!$A$18:$BK$553,62,FALSE)</f>
        <v>#N/A</v>
      </c>
      <c r="J288" s="261" t="e">
        <f t="shared" si="241"/>
        <v>#N/A</v>
      </c>
      <c r="K288" s="186"/>
      <c r="L288" s="261" t="e">
        <f>VLOOKUP($A288,[1]Planilha!$A$18:$BK$553,52,FALSE)</f>
        <v>#N/A</v>
      </c>
      <c r="M288" s="261" t="e">
        <f t="shared" si="242"/>
        <v>#N/A</v>
      </c>
      <c r="N288" s="187"/>
      <c r="O288" s="261" t="e">
        <f>VLOOKUP($A288,[1]Planilha!$A$18:$BK$553,60,FALSE)</f>
        <v>#N/A</v>
      </c>
      <c r="P288" s="261" t="e">
        <f t="shared" si="243"/>
        <v>#N/A</v>
      </c>
      <c r="Q288" s="186"/>
      <c r="R288" s="261" t="e">
        <f>VLOOKUP($A288,[1]Planilha!$A$18:$BK$553,51,FALSE)</f>
        <v>#N/A</v>
      </c>
      <c r="S288" s="261" t="e">
        <f t="shared" si="244"/>
        <v>#N/A</v>
      </c>
      <c r="T288" s="187"/>
      <c r="U288" s="261" t="e">
        <f>VLOOKUP($A288,[1]Planilha!$A$18:$BK$553,59,FALSE)</f>
        <v>#N/A</v>
      </c>
      <c r="V288" s="261" t="e">
        <f t="shared" si="245"/>
        <v>#N/A</v>
      </c>
      <c r="W288" s="186"/>
      <c r="X288" s="261" t="e">
        <f>VLOOKUP($A288,[1]Planilha!$A$18:$BK$553,50,FALSE)</f>
        <v>#N/A</v>
      </c>
      <c r="Y288" s="261" t="e">
        <f t="shared" si="246"/>
        <v>#N/A</v>
      </c>
      <c r="Z288" s="187"/>
      <c r="AA288" s="261" t="e">
        <f>VLOOKUP($A288,[1]Planilha!$A$18:$BK$553,58,FALSE)</f>
        <v>#N/A</v>
      </c>
      <c r="AB288" s="261" t="e">
        <f t="shared" si="247"/>
        <v>#N/A</v>
      </c>
      <c r="AC288" s="186"/>
      <c r="AD288" s="261" t="e">
        <f>VLOOKUP($A288,[1]Planilha!$A$18:$BK$553,49,FALSE)</f>
        <v>#N/A</v>
      </c>
      <c r="AE288" s="261" t="e">
        <f t="shared" si="248"/>
        <v>#N/A</v>
      </c>
      <c r="AF288" s="190"/>
      <c r="AG288" s="261" t="e">
        <f>VLOOKUP($A288,[1]Planilha!$A$18:$BK$553,57,FALSE)</f>
        <v>#N/A</v>
      </c>
      <c r="AH288" s="261" t="e">
        <f t="shared" si="249"/>
        <v>#N/A</v>
      </c>
    </row>
    <row r="289" spans="1:34" s="124" customFormat="1" ht="13.5" thickBot="1">
      <c r="A289" s="445">
        <v>7891721025242</v>
      </c>
      <c r="B289" s="172">
        <v>1008903640016</v>
      </c>
      <c r="C289" s="134" t="s">
        <v>737</v>
      </c>
      <c r="D289" s="362" t="s">
        <v>738</v>
      </c>
      <c r="E289" s="363">
        <f>ROUND(K289*1.028952,2)</f>
        <v>3105.65</v>
      </c>
      <c r="F289" s="261">
        <f>VLOOKUP($A289,[1]Planilha!$A$18:$BK$553,54,FALSE)</f>
        <v>3061.34</v>
      </c>
      <c r="G289" s="261">
        <f t="shared" si="240"/>
        <v>44.309999999999945</v>
      </c>
      <c r="H289" s="363">
        <f>ROUND(E289/0.751296,2)</f>
        <v>4133.72</v>
      </c>
      <c r="I289" s="261">
        <f>VLOOKUP($A289,[1]Planilha!$A$18:$BK$553,62,FALSE)</f>
        <v>4133.72</v>
      </c>
      <c r="J289" s="261">
        <f t="shared" si="241"/>
        <v>0</v>
      </c>
      <c r="K289" s="393">
        <f>VLOOKUP(A289,[2]Plan1!$H$2:$J$279,3,FALSE)</f>
        <v>3018.27</v>
      </c>
      <c r="L289" s="261">
        <f>VLOOKUP($A289,[1]Planilha!$A$18:$BK$553,52,FALSE)</f>
        <v>3018.27</v>
      </c>
      <c r="M289" s="261">
        <f t="shared" si="242"/>
        <v>0</v>
      </c>
      <c r="N289" s="393">
        <f>ROUND(K289/0.750577,2)</f>
        <v>4021.27</v>
      </c>
      <c r="O289" s="261">
        <f>VLOOKUP($A289,[1]Planilha!$A$18:$BK$553,60,FALSE)</f>
        <v>4021.27</v>
      </c>
      <c r="P289" s="261">
        <f t="shared" si="243"/>
        <v>0</v>
      </c>
      <c r="Q289" s="363">
        <f>ROUND(K289*0.993015,2)</f>
        <v>2997.19</v>
      </c>
      <c r="R289" s="261">
        <f>VLOOKUP($A289,[1]Planilha!$A$18:$BK$553,51,FALSE)</f>
        <v>2997.19</v>
      </c>
      <c r="S289" s="261">
        <f t="shared" si="244"/>
        <v>0</v>
      </c>
      <c r="T289" s="363">
        <f>ROUND(Q289/0.750402,2)</f>
        <v>3994.11</v>
      </c>
      <c r="U289" s="261">
        <f>VLOOKUP($A289,[1]Planilha!$A$18:$BK$553,59,FALSE)</f>
        <v>3994.11</v>
      </c>
      <c r="V289" s="261">
        <f t="shared" si="245"/>
        <v>0</v>
      </c>
      <c r="W289" s="363">
        <f>ROUND(K289*0.986128,2)</f>
        <v>2976.4</v>
      </c>
      <c r="X289" s="261">
        <f>VLOOKUP($A289,[1]Planilha!$A$18:$BK$553,50,FALSE)</f>
        <v>2976.4</v>
      </c>
      <c r="Y289" s="261">
        <f t="shared" si="246"/>
        <v>0</v>
      </c>
      <c r="Z289" s="363">
        <f>ROUND(W289/0.75023,2)</f>
        <v>3967.32</v>
      </c>
      <c r="AA289" s="261">
        <f>VLOOKUP($A289,[1]Planilha!$A$18:$BK$553,58,FALSE)</f>
        <v>3967.32</v>
      </c>
      <c r="AB289" s="261">
        <f t="shared" si="247"/>
        <v>0</v>
      </c>
      <c r="AC289" s="363">
        <f>ROUND(K289*0.922175,2)</f>
        <v>2783.37</v>
      </c>
      <c r="AD289" s="261">
        <f>VLOOKUP($A289,[1]Planilha!$A$18:$BK$553,49,FALSE)</f>
        <v>2783.37</v>
      </c>
      <c r="AE289" s="261">
        <f t="shared" si="248"/>
        <v>0</v>
      </c>
      <c r="AF289" s="364">
        <f>ROUND(AC289/0.748624,2)</f>
        <v>3717.98</v>
      </c>
      <c r="AG289" s="261">
        <f>VLOOKUP($A289,[1]Planilha!$A$18:$BK$553,57,FALSE)</f>
        <v>3717.98</v>
      </c>
      <c r="AH289" s="261">
        <f t="shared" si="249"/>
        <v>0</v>
      </c>
    </row>
    <row r="290" spans="1:34" s="481" customFormat="1" ht="18.75" customHeight="1" thickBot="1">
      <c r="A290" s="675" t="s">
        <v>295</v>
      </c>
      <c r="B290" s="451" t="s">
        <v>281</v>
      </c>
      <c r="C290" s="457"/>
      <c r="D290" s="458"/>
      <c r="E290" s="454" t="s">
        <v>741</v>
      </c>
      <c r="F290" s="261" t="e">
        <f>VLOOKUP($A290,[1]Planilha!$A$18:$BK$553,54,FALSE)</f>
        <v>#N/A</v>
      </c>
      <c r="G290" s="261" t="e">
        <f t="shared" si="240"/>
        <v>#VALUE!</v>
      </c>
      <c r="H290" s="455"/>
      <c r="I290" s="261" t="e">
        <f>VLOOKUP($A290,[1]Planilha!$A$18:$BK$553,62,FALSE)</f>
        <v>#N/A</v>
      </c>
      <c r="J290" s="261" t="e">
        <f t="shared" si="241"/>
        <v>#N/A</v>
      </c>
      <c r="K290" s="454" t="s">
        <v>292</v>
      </c>
      <c r="L290" s="261" t="e">
        <f>VLOOKUP($A290,[1]Planilha!$A$18:$BK$553,52,FALSE)</f>
        <v>#N/A</v>
      </c>
      <c r="M290" s="261" t="e">
        <f t="shared" si="242"/>
        <v>#VALUE!</v>
      </c>
      <c r="N290" s="455"/>
      <c r="O290" s="261" t="e">
        <f>VLOOKUP($A290,[1]Planilha!$A$18:$BK$553,60,FALSE)</f>
        <v>#N/A</v>
      </c>
      <c r="P290" s="261" t="e">
        <f t="shared" si="243"/>
        <v>#N/A</v>
      </c>
      <c r="Q290" s="456" t="s">
        <v>740</v>
      </c>
      <c r="R290" s="261" t="e">
        <f>VLOOKUP($A290,[1]Planilha!$A$18:$BK$553,51,FALSE)</f>
        <v>#N/A</v>
      </c>
      <c r="S290" s="261" t="e">
        <f t="shared" si="244"/>
        <v>#VALUE!</v>
      </c>
      <c r="T290" s="455"/>
      <c r="U290" s="261" t="e">
        <f>VLOOKUP($A290,[1]Planilha!$A$18:$BK$553,59,FALSE)</f>
        <v>#N/A</v>
      </c>
      <c r="V290" s="261" t="e">
        <f t="shared" si="245"/>
        <v>#N/A</v>
      </c>
      <c r="W290" s="456" t="s">
        <v>293</v>
      </c>
      <c r="X290" s="261" t="e">
        <f>VLOOKUP($A290,[1]Planilha!$A$18:$BK$553,50,FALSE)</f>
        <v>#N/A</v>
      </c>
      <c r="Y290" s="261" t="e">
        <f t="shared" si="246"/>
        <v>#VALUE!</v>
      </c>
      <c r="Z290" s="455"/>
      <c r="AA290" s="261" t="e">
        <f>VLOOKUP($A290,[1]Planilha!$A$18:$BK$553,58,FALSE)</f>
        <v>#N/A</v>
      </c>
      <c r="AB290" s="261" t="e">
        <f t="shared" si="247"/>
        <v>#N/A</v>
      </c>
      <c r="AC290" s="456" t="s">
        <v>322</v>
      </c>
      <c r="AD290" s="261" t="e">
        <f>VLOOKUP($A290,[1]Planilha!$A$18:$BK$553,49,FALSE)</f>
        <v>#N/A</v>
      </c>
      <c r="AE290" s="261" t="e">
        <f t="shared" si="248"/>
        <v>#VALUE!</v>
      </c>
      <c r="AF290" s="459"/>
      <c r="AG290" s="261" t="e">
        <f>VLOOKUP($A290,[1]Planilha!$A$18:$BK$553,57,FALSE)</f>
        <v>#N/A</v>
      </c>
      <c r="AH290" s="261" t="e">
        <f t="shared" si="249"/>
        <v>#N/A</v>
      </c>
    </row>
    <row r="291" spans="1:34" s="124" customFormat="1" ht="12.75" customHeight="1">
      <c r="A291" s="676" t="s">
        <v>296</v>
      </c>
      <c r="B291" s="115" t="s">
        <v>13</v>
      </c>
      <c r="C291" s="119" t="s">
        <v>83</v>
      </c>
      <c r="D291" s="101"/>
      <c r="E291" s="108" t="s">
        <v>81</v>
      </c>
      <c r="F291" s="261" t="e">
        <f>VLOOKUP($A291,[1]Planilha!$A$18:$BK$553,54,FALSE)</f>
        <v>#N/A</v>
      </c>
      <c r="G291" s="261" t="e">
        <f t="shared" si="240"/>
        <v>#VALUE!</v>
      </c>
      <c r="H291" s="107" t="s">
        <v>82</v>
      </c>
      <c r="I291" s="261" t="e">
        <f>VLOOKUP($A291,[1]Planilha!$A$18:$BK$553,62,FALSE)</f>
        <v>#N/A</v>
      </c>
      <c r="J291" s="261" t="e">
        <f t="shared" si="241"/>
        <v>#VALUE!</v>
      </c>
      <c r="K291" s="108" t="s">
        <v>81</v>
      </c>
      <c r="L291" s="261" t="e">
        <f>VLOOKUP($A291,[1]Planilha!$A$18:$BK$553,52,FALSE)</f>
        <v>#N/A</v>
      </c>
      <c r="M291" s="261" t="e">
        <f t="shared" si="242"/>
        <v>#VALUE!</v>
      </c>
      <c r="N291" s="107" t="s">
        <v>82</v>
      </c>
      <c r="O291" s="261" t="e">
        <f>VLOOKUP($A291,[1]Planilha!$A$18:$BK$553,60,FALSE)</f>
        <v>#N/A</v>
      </c>
      <c r="P291" s="261" t="e">
        <f t="shared" si="243"/>
        <v>#VALUE!</v>
      </c>
      <c r="Q291" s="108" t="s">
        <v>81</v>
      </c>
      <c r="R291" s="261" t="e">
        <f>VLOOKUP($A291,[1]Planilha!$A$18:$BK$553,51,FALSE)</f>
        <v>#N/A</v>
      </c>
      <c r="S291" s="261" t="e">
        <f t="shared" si="244"/>
        <v>#VALUE!</v>
      </c>
      <c r="T291" s="107" t="s">
        <v>82</v>
      </c>
      <c r="U291" s="261" t="e">
        <f>VLOOKUP($A291,[1]Planilha!$A$18:$BK$553,59,FALSE)</f>
        <v>#N/A</v>
      </c>
      <c r="V291" s="261" t="e">
        <f t="shared" si="245"/>
        <v>#VALUE!</v>
      </c>
      <c r="W291" s="108" t="s">
        <v>81</v>
      </c>
      <c r="X291" s="261" t="e">
        <f>VLOOKUP($A291,[1]Planilha!$A$18:$BK$553,50,FALSE)</f>
        <v>#N/A</v>
      </c>
      <c r="Y291" s="261" t="e">
        <f t="shared" si="246"/>
        <v>#VALUE!</v>
      </c>
      <c r="Z291" s="107" t="s">
        <v>82</v>
      </c>
      <c r="AA291" s="261" t="e">
        <f>VLOOKUP($A291,[1]Planilha!$A$18:$BK$553,58,FALSE)</f>
        <v>#N/A</v>
      </c>
      <c r="AB291" s="261" t="e">
        <f t="shared" si="247"/>
        <v>#VALUE!</v>
      </c>
      <c r="AC291" s="132" t="s">
        <v>81</v>
      </c>
      <c r="AD291" s="261" t="e">
        <f>VLOOKUP($A291,[1]Planilha!$A$18:$BK$553,49,FALSE)</f>
        <v>#N/A</v>
      </c>
      <c r="AE291" s="261" t="e">
        <f t="shared" si="248"/>
        <v>#VALUE!</v>
      </c>
      <c r="AF291" s="151" t="s">
        <v>82</v>
      </c>
      <c r="AG291" s="261" t="e">
        <f>VLOOKUP($A291,[1]Planilha!$A$18:$BK$553,57,FALSE)</f>
        <v>#N/A</v>
      </c>
      <c r="AH291" s="261" t="e">
        <f t="shared" si="249"/>
        <v>#VALUE!</v>
      </c>
    </row>
    <row r="292" spans="1:34" s="124" customFormat="1" ht="13.5" customHeight="1" thickBot="1">
      <c r="A292" s="677"/>
      <c r="B292" s="155" t="s">
        <v>14</v>
      </c>
      <c r="C292" s="156" t="s">
        <v>379</v>
      </c>
      <c r="D292" s="157" t="s">
        <v>84</v>
      </c>
      <c r="E292" s="158" t="s">
        <v>85</v>
      </c>
      <c r="F292" s="261" t="e">
        <f>VLOOKUP($A292,[1]Planilha!$A$18:$BK$553,54,FALSE)</f>
        <v>#N/A</v>
      </c>
      <c r="G292" s="261" t="e">
        <f t="shared" si="240"/>
        <v>#VALUE!</v>
      </c>
      <c r="H292" s="159" t="s">
        <v>297</v>
      </c>
      <c r="I292" s="261" t="e">
        <f>VLOOKUP($A292,[1]Planilha!$A$18:$BK$553,62,FALSE)</f>
        <v>#N/A</v>
      </c>
      <c r="J292" s="261" t="e">
        <f t="shared" si="241"/>
        <v>#VALUE!</v>
      </c>
      <c r="K292" s="158" t="s">
        <v>85</v>
      </c>
      <c r="L292" s="261" t="e">
        <f>VLOOKUP($A292,[1]Planilha!$A$18:$BK$553,52,FALSE)</f>
        <v>#N/A</v>
      </c>
      <c r="M292" s="261" t="e">
        <f t="shared" si="242"/>
        <v>#VALUE!</v>
      </c>
      <c r="N292" s="159" t="s">
        <v>297</v>
      </c>
      <c r="O292" s="261" t="e">
        <f>VLOOKUP($A292,[1]Planilha!$A$18:$BK$553,60,FALSE)</f>
        <v>#N/A</v>
      </c>
      <c r="P292" s="261" t="e">
        <f t="shared" si="243"/>
        <v>#VALUE!</v>
      </c>
      <c r="Q292" s="158" t="s">
        <v>85</v>
      </c>
      <c r="R292" s="261" t="e">
        <f>VLOOKUP($A292,[1]Planilha!$A$18:$BK$553,51,FALSE)</f>
        <v>#N/A</v>
      </c>
      <c r="S292" s="261" t="e">
        <f t="shared" si="244"/>
        <v>#VALUE!</v>
      </c>
      <c r="T292" s="159" t="s">
        <v>297</v>
      </c>
      <c r="U292" s="261" t="e">
        <f>VLOOKUP($A292,[1]Planilha!$A$18:$BK$553,59,FALSE)</f>
        <v>#N/A</v>
      </c>
      <c r="V292" s="261" t="e">
        <f t="shared" si="245"/>
        <v>#VALUE!</v>
      </c>
      <c r="W292" s="158" t="s">
        <v>85</v>
      </c>
      <c r="X292" s="261" t="e">
        <f>VLOOKUP($A292,[1]Planilha!$A$18:$BK$553,50,FALSE)</f>
        <v>#N/A</v>
      </c>
      <c r="Y292" s="261" t="e">
        <f t="shared" si="246"/>
        <v>#VALUE!</v>
      </c>
      <c r="Z292" s="159" t="s">
        <v>297</v>
      </c>
      <c r="AA292" s="261" t="e">
        <f>VLOOKUP($A292,[1]Planilha!$A$18:$BK$553,58,FALSE)</f>
        <v>#N/A</v>
      </c>
      <c r="AB292" s="261" t="e">
        <f t="shared" si="247"/>
        <v>#VALUE!</v>
      </c>
      <c r="AC292" s="160" t="s">
        <v>85</v>
      </c>
      <c r="AD292" s="261" t="e">
        <f>VLOOKUP($A292,[1]Planilha!$A$18:$BK$553,49,FALSE)</f>
        <v>#N/A</v>
      </c>
      <c r="AE292" s="261" t="e">
        <f t="shared" si="248"/>
        <v>#VALUE!</v>
      </c>
      <c r="AF292" s="161" t="s">
        <v>297</v>
      </c>
      <c r="AG292" s="261" t="e">
        <f>VLOOKUP($A292,[1]Planilha!$A$18:$BK$553,57,FALSE)</f>
        <v>#N/A</v>
      </c>
      <c r="AH292" s="261" t="e">
        <f t="shared" si="249"/>
        <v>#VALUE!</v>
      </c>
    </row>
    <row r="293" spans="1:34" s="124" customFormat="1" ht="15">
      <c r="A293" s="414"/>
      <c r="B293" s="207" t="s">
        <v>310</v>
      </c>
      <c r="C293" s="208"/>
      <c r="D293" s="209"/>
      <c r="E293" s="188"/>
      <c r="F293" s="261" t="e">
        <f>VLOOKUP($A293,[1]Planilha!$A$18:$BK$553,54,FALSE)</f>
        <v>#N/A</v>
      </c>
      <c r="G293" s="261" t="e">
        <f t="shared" si="240"/>
        <v>#N/A</v>
      </c>
      <c r="H293" s="189"/>
      <c r="I293" s="261" t="e">
        <f>VLOOKUP($A293,[1]Planilha!$A$18:$BK$553,62,FALSE)</f>
        <v>#N/A</v>
      </c>
      <c r="J293" s="261" t="e">
        <f t="shared" si="241"/>
        <v>#N/A</v>
      </c>
      <c r="K293" s="188"/>
      <c r="L293" s="261" t="e">
        <f>VLOOKUP($A293,[1]Planilha!$A$18:$BK$553,52,FALSE)</f>
        <v>#N/A</v>
      </c>
      <c r="M293" s="261" t="e">
        <f t="shared" si="242"/>
        <v>#N/A</v>
      </c>
      <c r="N293" s="189"/>
      <c r="O293" s="261" t="e">
        <f>VLOOKUP($A293,[1]Planilha!$A$18:$BK$553,60,FALSE)</f>
        <v>#N/A</v>
      </c>
      <c r="P293" s="261" t="e">
        <f t="shared" si="243"/>
        <v>#N/A</v>
      </c>
      <c r="Q293" s="188"/>
      <c r="R293" s="261" t="e">
        <f>VLOOKUP($A293,[1]Planilha!$A$18:$BK$553,51,FALSE)</f>
        <v>#N/A</v>
      </c>
      <c r="S293" s="261" t="e">
        <f t="shared" si="244"/>
        <v>#N/A</v>
      </c>
      <c r="T293" s="189"/>
      <c r="U293" s="261" t="e">
        <f>VLOOKUP($A293,[1]Planilha!$A$18:$BK$553,59,FALSE)</f>
        <v>#N/A</v>
      </c>
      <c r="V293" s="261" t="e">
        <f t="shared" si="245"/>
        <v>#N/A</v>
      </c>
      <c r="W293" s="188"/>
      <c r="X293" s="261" t="e">
        <f>VLOOKUP($A293,[1]Planilha!$A$18:$BK$553,50,FALSE)</f>
        <v>#N/A</v>
      </c>
      <c r="Y293" s="261" t="e">
        <f t="shared" si="246"/>
        <v>#N/A</v>
      </c>
      <c r="Z293" s="189"/>
      <c r="AA293" s="261" t="e">
        <f>VLOOKUP($A293,[1]Planilha!$A$18:$BK$553,58,FALSE)</f>
        <v>#N/A</v>
      </c>
      <c r="AB293" s="261" t="e">
        <f t="shared" si="247"/>
        <v>#N/A</v>
      </c>
      <c r="AC293" s="188"/>
      <c r="AD293" s="261" t="e">
        <f>VLOOKUP($A293,[1]Planilha!$A$18:$BK$553,49,FALSE)</f>
        <v>#N/A</v>
      </c>
      <c r="AE293" s="261" t="e">
        <f t="shared" si="248"/>
        <v>#N/A</v>
      </c>
      <c r="AF293" s="191"/>
      <c r="AG293" s="261" t="e">
        <f>VLOOKUP($A293,[1]Planilha!$A$18:$BK$553,57,FALSE)</f>
        <v>#N/A</v>
      </c>
      <c r="AH293" s="261" t="e">
        <f t="shared" si="249"/>
        <v>#N/A</v>
      </c>
    </row>
    <row r="294" spans="1:34" s="124" customFormat="1">
      <c r="A294" s="233">
        <v>7891721012990</v>
      </c>
      <c r="B294" s="126">
        <v>1008902710101</v>
      </c>
      <c r="C294" s="126" t="s">
        <v>539</v>
      </c>
      <c r="D294" s="214" t="s">
        <v>535</v>
      </c>
      <c r="E294" s="267">
        <f>ROUND(K294*1.025,2)</f>
        <v>5.05</v>
      </c>
      <c r="F294" s="261">
        <f>VLOOKUP($A294,[1]Planilha!$A$18:$BK$553,54,FALSE)</f>
        <v>4.99</v>
      </c>
      <c r="G294" s="261">
        <f t="shared" si="240"/>
        <v>5.9999999999999609E-2</v>
      </c>
      <c r="H294" s="267">
        <f>ROUND(E294/0.723358,2)</f>
        <v>6.98</v>
      </c>
      <c r="I294" s="261">
        <f>VLOOKUP($A294,[1]Planilha!$A$18:$BK$553,62,FALSE)</f>
        <v>6.98</v>
      </c>
      <c r="J294" s="261">
        <f t="shared" si="241"/>
        <v>0</v>
      </c>
      <c r="K294" s="267">
        <f>VLOOKUP(A294,[2]Plan1!$H$2:$J$279,3,FALSE)</f>
        <v>4.9260373568834828</v>
      </c>
      <c r="L294" s="261">
        <f>VLOOKUP($A294,[1]Planilha!$A$18:$BK$553,52,FALSE)</f>
        <v>4.93</v>
      </c>
      <c r="M294" s="261">
        <f t="shared" si="242"/>
        <v>-3.9626431165169507E-3</v>
      </c>
      <c r="N294" s="267">
        <f>ROUND(K294/0.723358,2)</f>
        <v>6.81</v>
      </c>
      <c r="O294" s="261">
        <f>VLOOKUP($A294,[1]Planilha!$A$18:$BK$553,60,FALSE)</f>
        <v>6.81</v>
      </c>
      <c r="P294" s="261">
        <f t="shared" si="243"/>
        <v>0</v>
      </c>
      <c r="Q294" s="267">
        <f>ROUND(K294*0.993939,2)</f>
        <v>4.9000000000000004</v>
      </c>
      <c r="R294" s="261">
        <f>VLOOKUP($A294,[1]Planilha!$A$18:$BK$553,51,FALSE)</f>
        <v>4.9000000000000004</v>
      </c>
      <c r="S294" s="261">
        <f t="shared" si="244"/>
        <v>0</v>
      </c>
      <c r="T294" s="267">
        <f>ROUND(Q294/0.723358,2)</f>
        <v>6.77</v>
      </c>
      <c r="U294" s="261">
        <f>VLOOKUP($A294,[1]Planilha!$A$18:$BK$553,59,FALSE)</f>
        <v>6.77</v>
      </c>
      <c r="V294" s="261">
        <f t="shared" si="245"/>
        <v>0</v>
      </c>
      <c r="W294" s="267">
        <f t="shared" ref="W294:W309" si="259">ROUND(K294*0.987952,2)</f>
        <v>4.87</v>
      </c>
      <c r="X294" s="261">
        <f>VLOOKUP($A294,[1]Planilha!$A$18:$BK$553,50,FALSE)</f>
        <v>4.87</v>
      </c>
      <c r="Y294" s="261">
        <f t="shared" si="246"/>
        <v>0</v>
      </c>
      <c r="Z294" s="267">
        <f t="shared" ref="Z294:Z309" si="260">ROUND(W294/0.723358,2)</f>
        <v>6.73</v>
      </c>
      <c r="AA294" s="261">
        <f>VLOOKUP($A294,[1]Planilha!$A$18:$BK$553,58,FALSE)</f>
        <v>6.73</v>
      </c>
      <c r="AB294" s="261">
        <f t="shared" si="247"/>
        <v>0</v>
      </c>
      <c r="AC294" s="267">
        <f t="shared" ref="AC294:AC309" si="261">ROUND(K294*0.931818,2)</f>
        <v>4.59</v>
      </c>
      <c r="AD294" s="261">
        <f>VLOOKUP($A294,[1]Planilha!$A$18:$BK$553,49,FALSE)</f>
        <v>4.59</v>
      </c>
      <c r="AE294" s="261">
        <f t="shared" si="248"/>
        <v>0</v>
      </c>
      <c r="AF294" s="268">
        <f t="shared" ref="AF294:AF309" si="262">ROUND(AC294/0.723358,2)</f>
        <v>6.35</v>
      </c>
      <c r="AG294" s="261">
        <f>VLOOKUP($A294,[1]Planilha!$A$18:$BK$553,57,FALSE)</f>
        <v>6.35</v>
      </c>
      <c r="AH294" s="261">
        <f t="shared" si="249"/>
        <v>0</v>
      </c>
    </row>
    <row r="295" spans="1:34" s="124" customFormat="1">
      <c r="A295" s="233">
        <v>7891721013010</v>
      </c>
      <c r="B295" s="126">
        <v>1008902710118</v>
      </c>
      <c r="C295" s="121" t="s">
        <v>380</v>
      </c>
      <c r="D295" s="214" t="s">
        <v>318</v>
      </c>
      <c r="E295" s="267">
        <f>ROUND(K295*1.025,2)</f>
        <v>18.95</v>
      </c>
      <c r="F295" s="261">
        <f>VLOOKUP($A295,[1]Planilha!$A$18:$BK$553,54,FALSE)</f>
        <v>18.72</v>
      </c>
      <c r="G295" s="261">
        <f t="shared" si="240"/>
        <v>0.23000000000000043</v>
      </c>
      <c r="H295" s="267">
        <f>ROUND(E295/0.723358,2)</f>
        <v>26.2</v>
      </c>
      <c r="I295" s="261">
        <f>VLOOKUP($A295,[1]Planilha!$A$18:$BK$553,62,FALSE)</f>
        <v>26.2</v>
      </c>
      <c r="J295" s="261">
        <f t="shared" si="241"/>
        <v>0</v>
      </c>
      <c r="K295" s="267">
        <f>VLOOKUP(A295,[2]Plan1!$H$2:$J$279,3,FALSE)</f>
        <v>18.487843907315785</v>
      </c>
      <c r="L295" s="261">
        <f>VLOOKUP($A295,[1]Planilha!$A$18:$BK$553,52,FALSE)</f>
        <v>18.489999999999998</v>
      </c>
      <c r="M295" s="261">
        <f t="shared" si="242"/>
        <v>-2.156092684213462E-3</v>
      </c>
      <c r="N295" s="267">
        <f>ROUND(K295/0.723358,2)</f>
        <v>25.56</v>
      </c>
      <c r="O295" s="261">
        <f>VLOOKUP($A295,[1]Planilha!$A$18:$BK$553,60,FALSE)</f>
        <v>25.56</v>
      </c>
      <c r="P295" s="261">
        <f t="shared" si="243"/>
        <v>0</v>
      </c>
      <c r="Q295" s="484">
        <v>18.37</v>
      </c>
      <c r="R295" s="261">
        <f>VLOOKUP($A295,[1]Planilha!$A$18:$BK$553,51,FALSE)</f>
        <v>18.37</v>
      </c>
      <c r="S295" s="261">
        <f t="shared" si="244"/>
        <v>0</v>
      </c>
      <c r="T295" s="267">
        <f t="shared" ref="T295:T309" si="263">ROUND(Q295/0.723358,2)</f>
        <v>25.4</v>
      </c>
      <c r="U295" s="261">
        <f>VLOOKUP($A295,[1]Planilha!$A$18:$BK$553,59,FALSE)</f>
        <v>25.4</v>
      </c>
      <c r="V295" s="261">
        <f t="shared" si="245"/>
        <v>0</v>
      </c>
      <c r="W295" s="484">
        <v>18.260000000000002</v>
      </c>
      <c r="X295" s="261">
        <f>VLOOKUP($A295,[1]Planilha!$A$18:$BK$553,50,FALSE)</f>
        <v>18.260000000000002</v>
      </c>
      <c r="Y295" s="261">
        <f t="shared" si="246"/>
        <v>0</v>
      </c>
      <c r="Z295" s="267">
        <f t="shared" si="260"/>
        <v>25.24</v>
      </c>
      <c r="AA295" s="261">
        <f>VLOOKUP($A295,[1]Planilha!$A$18:$BK$553,58,FALSE)</f>
        <v>25.24</v>
      </c>
      <c r="AB295" s="261">
        <f t="shared" si="247"/>
        <v>0</v>
      </c>
      <c r="AC295" s="267">
        <f t="shared" si="261"/>
        <v>17.23</v>
      </c>
      <c r="AD295" s="261">
        <f>VLOOKUP($A295,[1]Planilha!$A$18:$BK$553,49,FALSE)</f>
        <v>17.23</v>
      </c>
      <c r="AE295" s="261">
        <f t="shared" si="248"/>
        <v>0</v>
      </c>
      <c r="AF295" s="268">
        <f t="shared" si="262"/>
        <v>23.82</v>
      </c>
      <c r="AG295" s="261">
        <f>VLOOKUP($A295,[1]Planilha!$A$18:$BK$553,57,FALSE)</f>
        <v>23.82</v>
      </c>
      <c r="AH295" s="261">
        <f t="shared" si="249"/>
        <v>0</v>
      </c>
    </row>
    <row r="296" spans="1:34" s="124" customFormat="1">
      <c r="A296" s="233">
        <v>7891721008405</v>
      </c>
      <c r="B296" s="126">
        <v>1008902710088</v>
      </c>
      <c r="C296" s="126" t="s">
        <v>381</v>
      </c>
      <c r="D296" s="214" t="s">
        <v>319</v>
      </c>
      <c r="E296" s="267">
        <f>ROUND(K296*1.025,2)</f>
        <v>38.01</v>
      </c>
      <c r="F296" s="261">
        <f>VLOOKUP($A296,[1]Planilha!$A$18:$BK$553,54,FALSE)</f>
        <v>37.549999999999997</v>
      </c>
      <c r="G296" s="261">
        <f t="shared" si="240"/>
        <v>0.46000000000000085</v>
      </c>
      <c r="H296" s="267">
        <f>ROUND(E296/0.723358,2)</f>
        <v>52.55</v>
      </c>
      <c r="I296" s="261">
        <f>VLOOKUP($A296,[1]Planilha!$A$18:$BK$553,62,FALSE)</f>
        <v>52.55</v>
      </c>
      <c r="J296" s="261">
        <f t="shared" si="241"/>
        <v>0</v>
      </c>
      <c r="K296" s="267">
        <f>VLOOKUP(A296,[2]Plan1!$H$2:$J$279,3,FALSE)</f>
        <v>37.087182487318238</v>
      </c>
      <c r="L296" s="261">
        <f>VLOOKUP($A296,[1]Planilha!$A$18:$BK$553,52,FALSE)</f>
        <v>37.090000000000003</v>
      </c>
      <c r="M296" s="261">
        <f t="shared" si="242"/>
        <v>-2.817512681765777E-3</v>
      </c>
      <c r="N296" s="267">
        <f t="shared" ref="N296:N298" si="264">ROUND(K296/0.723358,2)</f>
        <v>51.27</v>
      </c>
      <c r="O296" s="261">
        <f>VLOOKUP($A296,[1]Planilha!$A$18:$BK$553,60,FALSE)</f>
        <v>51.27</v>
      </c>
      <c r="P296" s="261">
        <f t="shared" si="243"/>
        <v>0</v>
      </c>
      <c r="Q296" s="267">
        <f t="shared" ref="Q296:Q309" si="265">ROUND(K296*0.993939,2)</f>
        <v>36.86</v>
      </c>
      <c r="R296" s="261">
        <f>VLOOKUP($A296,[1]Planilha!$A$18:$BK$553,51,FALSE)</f>
        <v>36.86</v>
      </c>
      <c r="S296" s="261">
        <f t="shared" si="244"/>
        <v>0</v>
      </c>
      <c r="T296" s="267">
        <f t="shared" si="263"/>
        <v>50.96</v>
      </c>
      <c r="U296" s="261">
        <f>VLOOKUP($A296,[1]Planilha!$A$18:$BK$553,59,FALSE)</f>
        <v>50.96</v>
      </c>
      <c r="V296" s="261">
        <f t="shared" si="245"/>
        <v>0</v>
      </c>
      <c r="W296" s="267">
        <f t="shared" si="259"/>
        <v>36.64</v>
      </c>
      <c r="X296" s="261">
        <f>VLOOKUP($A296,[1]Planilha!$A$18:$BK$553,50,FALSE)</f>
        <v>36.64</v>
      </c>
      <c r="Y296" s="261">
        <f t="shared" si="246"/>
        <v>0</v>
      </c>
      <c r="Z296" s="267">
        <f t="shared" si="260"/>
        <v>50.65</v>
      </c>
      <c r="AA296" s="261">
        <f>VLOOKUP($A296,[1]Planilha!$A$18:$BK$553,58,FALSE)</f>
        <v>50.65</v>
      </c>
      <c r="AB296" s="261">
        <f t="shared" si="247"/>
        <v>0</v>
      </c>
      <c r="AC296" s="267">
        <f t="shared" si="261"/>
        <v>34.56</v>
      </c>
      <c r="AD296" s="261">
        <f>VLOOKUP($A296,[1]Planilha!$A$18:$BK$553,49,FALSE)</f>
        <v>34.56</v>
      </c>
      <c r="AE296" s="261">
        <f t="shared" si="248"/>
        <v>0</v>
      </c>
      <c r="AF296" s="268">
        <f t="shared" si="262"/>
        <v>47.78</v>
      </c>
      <c r="AG296" s="261">
        <f>VLOOKUP($A296,[1]Planilha!$A$18:$BK$553,57,FALSE)</f>
        <v>47.78</v>
      </c>
      <c r="AH296" s="261">
        <f t="shared" si="249"/>
        <v>0</v>
      </c>
    </row>
    <row r="297" spans="1:34" s="124" customFormat="1">
      <c r="A297" s="233">
        <v>7891721028922</v>
      </c>
      <c r="B297" s="126">
        <v>1008902710037</v>
      </c>
      <c r="C297" s="126">
        <v>3184750002</v>
      </c>
      <c r="D297" s="214" t="s">
        <v>724</v>
      </c>
      <c r="E297" s="267">
        <f>ROUND(K297*1.025,2)</f>
        <v>6.28</v>
      </c>
      <c r="F297" s="261">
        <f>VLOOKUP($A297,[1]Planilha!$A$18:$BK$553,54,FALSE)</f>
        <v>6.2</v>
      </c>
      <c r="G297" s="261">
        <f t="shared" si="240"/>
        <v>8.0000000000000071E-2</v>
      </c>
      <c r="H297" s="267">
        <f>ROUND(E297/0.723358,2)</f>
        <v>8.68</v>
      </c>
      <c r="I297" s="261">
        <f>VLOOKUP($A297,[1]Planilha!$A$18:$BK$553,62,FALSE)</f>
        <v>8.68</v>
      </c>
      <c r="J297" s="261">
        <f t="shared" si="241"/>
        <v>0</v>
      </c>
      <c r="K297" s="267">
        <f>VLOOKUP(A297,[2]Plan1!$H$2:$J$279,3,FALSE)</f>
        <v>6.1220711184313243</v>
      </c>
      <c r="L297" s="261">
        <f>VLOOKUP($A297,[1]Planilha!$A$18:$BK$553,52,FALSE)</f>
        <v>6.12</v>
      </c>
      <c r="M297" s="261">
        <f t="shared" si="242"/>
        <v>2.071118431324237E-3</v>
      </c>
      <c r="N297" s="267">
        <f t="shared" si="264"/>
        <v>8.4600000000000009</v>
      </c>
      <c r="O297" s="261">
        <f>VLOOKUP($A297,[1]Planilha!$A$18:$BK$553,60,FALSE)</f>
        <v>8.4600000000000009</v>
      </c>
      <c r="P297" s="261">
        <f t="shared" si="243"/>
        <v>0</v>
      </c>
      <c r="Q297" s="267">
        <f t="shared" si="265"/>
        <v>6.08</v>
      </c>
      <c r="R297" s="261">
        <f>VLOOKUP($A297,[1]Planilha!$A$18:$BK$553,51,FALSE)</f>
        <v>6.08</v>
      </c>
      <c r="S297" s="261">
        <f t="shared" si="244"/>
        <v>0</v>
      </c>
      <c r="T297" s="267">
        <f t="shared" si="263"/>
        <v>8.41</v>
      </c>
      <c r="U297" s="261">
        <f>VLOOKUP($A297,[1]Planilha!$A$18:$BK$553,59,FALSE)</f>
        <v>8.41</v>
      </c>
      <c r="V297" s="261">
        <f t="shared" si="245"/>
        <v>0</v>
      </c>
      <c r="W297" s="267">
        <f t="shared" si="259"/>
        <v>6.05</v>
      </c>
      <c r="X297" s="261">
        <f>VLOOKUP($A297,[1]Planilha!$A$18:$BK$553,50,FALSE)</f>
        <v>6.05</v>
      </c>
      <c r="Y297" s="261">
        <f t="shared" si="246"/>
        <v>0</v>
      </c>
      <c r="Z297" s="267">
        <f t="shared" si="260"/>
        <v>8.36</v>
      </c>
      <c r="AA297" s="261">
        <f>VLOOKUP($A297,[1]Planilha!$A$18:$BK$553,58,FALSE)</f>
        <v>8.36</v>
      </c>
      <c r="AB297" s="261">
        <f t="shared" si="247"/>
        <v>0</v>
      </c>
      <c r="AC297" s="267">
        <f t="shared" si="261"/>
        <v>5.7</v>
      </c>
      <c r="AD297" s="261">
        <f>VLOOKUP($A297,[1]Planilha!$A$18:$BK$553,49,FALSE)</f>
        <v>5.7</v>
      </c>
      <c r="AE297" s="261">
        <f t="shared" si="248"/>
        <v>0</v>
      </c>
      <c r="AF297" s="268">
        <f t="shared" si="262"/>
        <v>7.88</v>
      </c>
      <c r="AG297" s="261">
        <f>VLOOKUP($A297,[1]Planilha!$A$18:$BK$553,57,FALSE)</f>
        <v>7.88</v>
      </c>
      <c r="AH297" s="261">
        <f t="shared" si="249"/>
        <v>0</v>
      </c>
    </row>
    <row r="298" spans="1:34" s="124" customFormat="1">
      <c r="A298" s="233">
        <v>7891721008368</v>
      </c>
      <c r="B298" s="310">
        <v>1008902710045</v>
      </c>
      <c r="C298" s="128" t="s">
        <v>415</v>
      </c>
      <c r="D298" s="380" t="s">
        <v>411</v>
      </c>
      <c r="E298" s="267">
        <f>ROUND(K298*1.025,2)</f>
        <v>18.829999999999998</v>
      </c>
      <c r="F298" s="261">
        <f>VLOOKUP($A298,[1]Planilha!$A$18:$BK$553,54,FALSE)</f>
        <v>18.59</v>
      </c>
      <c r="G298" s="261">
        <f t="shared" si="240"/>
        <v>0.23999999999999844</v>
      </c>
      <c r="H298" s="267">
        <f>ROUND(E298/0.723358,2)</f>
        <v>26.03</v>
      </c>
      <c r="I298" s="261">
        <f>VLOOKUP($A298,[1]Planilha!$A$18:$BK$553,62,FALSE)</f>
        <v>26.03</v>
      </c>
      <c r="J298" s="261">
        <f t="shared" si="241"/>
        <v>0</v>
      </c>
      <c r="K298" s="267">
        <f>VLOOKUP(A298,[2]Plan1!$H$2:$J$279,3,FALSE)</f>
        <v>18.366213355293972</v>
      </c>
      <c r="L298" s="261">
        <f>VLOOKUP($A298,[1]Planilha!$A$18:$BK$553,52,FALSE)</f>
        <v>18.37</v>
      </c>
      <c r="M298" s="261">
        <f t="shared" si="242"/>
        <v>-3.7866447060288522E-3</v>
      </c>
      <c r="N298" s="267">
        <f t="shared" si="264"/>
        <v>25.39</v>
      </c>
      <c r="O298" s="261">
        <f>VLOOKUP($A298,[1]Planilha!$A$18:$BK$553,60,FALSE)</f>
        <v>25.39</v>
      </c>
      <c r="P298" s="261">
        <f t="shared" si="243"/>
        <v>0</v>
      </c>
      <c r="Q298" s="267">
        <f t="shared" si="265"/>
        <v>18.25</v>
      </c>
      <c r="R298" s="261">
        <f>VLOOKUP($A298,[1]Planilha!$A$18:$BK$553,51,FALSE)</f>
        <v>18.25</v>
      </c>
      <c r="S298" s="261">
        <f t="shared" si="244"/>
        <v>0</v>
      </c>
      <c r="T298" s="267">
        <f t="shared" si="263"/>
        <v>25.23</v>
      </c>
      <c r="U298" s="261">
        <f>VLOOKUP($A298,[1]Planilha!$A$18:$BK$553,59,FALSE)</f>
        <v>25.23</v>
      </c>
      <c r="V298" s="261">
        <f t="shared" si="245"/>
        <v>0</v>
      </c>
      <c r="W298" s="267">
        <f t="shared" si="259"/>
        <v>18.14</v>
      </c>
      <c r="X298" s="261">
        <f>VLOOKUP($A298,[1]Planilha!$A$18:$BK$553,50,FALSE)</f>
        <v>18.14</v>
      </c>
      <c r="Y298" s="261">
        <f t="shared" si="246"/>
        <v>0</v>
      </c>
      <c r="Z298" s="267">
        <f t="shared" si="260"/>
        <v>25.08</v>
      </c>
      <c r="AA298" s="261">
        <f>VLOOKUP($A298,[1]Planilha!$A$18:$BK$553,58,FALSE)</f>
        <v>25.08</v>
      </c>
      <c r="AB298" s="261">
        <f t="shared" si="247"/>
        <v>0</v>
      </c>
      <c r="AC298" s="267">
        <f t="shared" si="261"/>
        <v>17.11</v>
      </c>
      <c r="AD298" s="261">
        <f>VLOOKUP($A298,[1]Planilha!$A$18:$BK$553,49,FALSE)</f>
        <v>17.11</v>
      </c>
      <c r="AE298" s="261">
        <f t="shared" si="248"/>
        <v>0</v>
      </c>
      <c r="AF298" s="268">
        <f t="shared" si="262"/>
        <v>23.65</v>
      </c>
      <c r="AG298" s="261">
        <f>VLOOKUP($A298,[1]Planilha!$A$18:$BK$553,57,FALSE)</f>
        <v>23.65</v>
      </c>
      <c r="AH298" s="261">
        <f t="shared" si="249"/>
        <v>0</v>
      </c>
    </row>
    <row r="299" spans="1:34" s="124" customFormat="1" ht="15">
      <c r="A299" s="414"/>
      <c r="B299" s="207" t="s">
        <v>682</v>
      </c>
      <c r="C299" s="208"/>
      <c r="D299" s="209"/>
      <c r="E299" s="188"/>
      <c r="F299" s="261" t="e">
        <f>VLOOKUP($A299,[1]Planilha!$A$18:$BK$553,54,FALSE)</f>
        <v>#N/A</v>
      </c>
      <c r="G299" s="261" t="e">
        <f t="shared" si="240"/>
        <v>#N/A</v>
      </c>
      <c r="H299" s="189"/>
      <c r="I299" s="261" t="e">
        <f>VLOOKUP($A299,[1]Planilha!$A$18:$BK$553,62,FALSE)</f>
        <v>#N/A</v>
      </c>
      <c r="J299" s="261" t="e">
        <f t="shared" si="241"/>
        <v>#N/A</v>
      </c>
      <c r="K299" s="267"/>
      <c r="L299" s="261" t="e">
        <f>VLOOKUP($A299,[1]Planilha!$A$18:$BK$553,52,FALSE)</f>
        <v>#N/A</v>
      </c>
      <c r="M299" s="261" t="e">
        <f t="shared" si="242"/>
        <v>#N/A</v>
      </c>
      <c r="N299" s="189"/>
      <c r="O299" s="261" t="e">
        <f>VLOOKUP($A299,[1]Planilha!$A$18:$BK$553,60,FALSE)</f>
        <v>#N/A</v>
      </c>
      <c r="P299" s="261" t="e">
        <f t="shared" si="243"/>
        <v>#N/A</v>
      </c>
      <c r="Q299" s="188"/>
      <c r="R299" s="261" t="e">
        <f>VLOOKUP($A299,[1]Planilha!$A$18:$BK$553,51,FALSE)</f>
        <v>#N/A</v>
      </c>
      <c r="S299" s="261" t="e">
        <f t="shared" si="244"/>
        <v>#N/A</v>
      </c>
      <c r="T299" s="189"/>
      <c r="U299" s="261" t="e">
        <f>VLOOKUP($A299,[1]Planilha!$A$18:$BK$553,59,FALSE)</f>
        <v>#N/A</v>
      </c>
      <c r="V299" s="261" t="e">
        <f t="shared" si="245"/>
        <v>#N/A</v>
      </c>
      <c r="W299" s="188"/>
      <c r="X299" s="261" t="e">
        <f>VLOOKUP($A299,[1]Planilha!$A$18:$BK$553,50,FALSE)</f>
        <v>#N/A</v>
      </c>
      <c r="Y299" s="261" t="e">
        <f t="shared" si="246"/>
        <v>#N/A</v>
      </c>
      <c r="Z299" s="189"/>
      <c r="AA299" s="261" t="e">
        <f>VLOOKUP($A299,[1]Planilha!$A$18:$BK$553,58,FALSE)</f>
        <v>#N/A</v>
      </c>
      <c r="AB299" s="261" t="e">
        <f t="shared" si="247"/>
        <v>#N/A</v>
      </c>
      <c r="AC299" s="188"/>
      <c r="AD299" s="261" t="e">
        <f>VLOOKUP($A299,[1]Planilha!$A$18:$BK$553,49,FALSE)</f>
        <v>#N/A</v>
      </c>
      <c r="AE299" s="261" t="e">
        <f t="shared" si="248"/>
        <v>#N/A</v>
      </c>
      <c r="AF299" s="191"/>
      <c r="AG299" s="261" t="e">
        <f>VLOOKUP($A299,[1]Planilha!$A$18:$BK$553,57,FALSE)</f>
        <v>#N/A</v>
      </c>
      <c r="AH299" s="261" t="e">
        <f t="shared" si="249"/>
        <v>#N/A</v>
      </c>
    </row>
    <row r="300" spans="1:34" s="124" customFormat="1">
      <c r="A300" s="232">
        <v>7891721023958</v>
      </c>
      <c r="B300" s="205">
        <v>1008902710150</v>
      </c>
      <c r="C300" s="121" t="s">
        <v>685</v>
      </c>
      <c r="D300" s="206" t="s">
        <v>683</v>
      </c>
      <c r="E300" s="267">
        <f>ROUND(K300*1.025,2)</f>
        <v>16.45</v>
      </c>
      <c r="F300" s="261">
        <f>VLOOKUP($A300,[1]Planilha!$A$18:$BK$553,54,FALSE)</f>
        <v>16.239999999999998</v>
      </c>
      <c r="G300" s="261">
        <f t="shared" si="240"/>
        <v>0.21000000000000085</v>
      </c>
      <c r="H300" s="267">
        <f>ROUND(E300/0.723358,2)</f>
        <v>22.74</v>
      </c>
      <c r="I300" s="261">
        <f>VLOOKUP($A300,[1]Planilha!$A$18:$BK$553,62,FALSE)</f>
        <v>22.74</v>
      </c>
      <c r="J300" s="261">
        <f t="shared" si="241"/>
        <v>0</v>
      </c>
      <c r="K300" s="267">
        <f>VLOOKUP(A300,[2]Plan1!$H$2:$J$279,3,FALSE)</f>
        <v>16.045096987544348</v>
      </c>
      <c r="L300" s="261">
        <f>VLOOKUP($A300,[1]Planilha!$A$18:$BK$553,52,FALSE)</f>
        <v>16.05</v>
      </c>
      <c r="M300" s="261">
        <f t="shared" si="242"/>
        <v>-4.9030124556530552E-3</v>
      </c>
      <c r="N300" s="267">
        <f t="shared" ref="N300" si="266">ROUND(K300/0.723358,2)</f>
        <v>22.18</v>
      </c>
      <c r="O300" s="261">
        <f>VLOOKUP($A300,[1]Planilha!$A$18:$BK$553,60,FALSE)</f>
        <v>22.18</v>
      </c>
      <c r="P300" s="261">
        <f t="shared" si="243"/>
        <v>0</v>
      </c>
      <c r="Q300" s="267">
        <f t="shared" si="265"/>
        <v>15.95</v>
      </c>
      <c r="R300" s="261">
        <f>VLOOKUP($A300,[1]Planilha!$A$18:$BK$553,51,FALSE)</f>
        <v>15.95</v>
      </c>
      <c r="S300" s="261">
        <f t="shared" si="244"/>
        <v>0</v>
      </c>
      <c r="T300" s="267">
        <f t="shared" si="263"/>
        <v>22.05</v>
      </c>
      <c r="U300" s="261">
        <f>VLOOKUP($A300,[1]Planilha!$A$18:$BK$553,59,FALSE)</f>
        <v>22.05</v>
      </c>
      <c r="V300" s="261">
        <f t="shared" si="245"/>
        <v>0</v>
      </c>
      <c r="W300" s="267">
        <f t="shared" si="259"/>
        <v>15.85</v>
      </c>
      <c r="X300" s="261">
        <f>VLOOKUP($A300,[1]Planilha!$A$18:$BK$553,50,FALSE)</f>
        <v>15.85</v>
      </c>
      <c r="Y300" s="261">
        <f t="shared" si="246"/>
        <v>0</v>
      </c>
      <c r="Z300" s="267">
        <f t="shared" si="260"/>
        <v>21.91</v>
      </c>
      <c r="AA300" s="261">
        <f>VLOOKUP($A300,[1]Planilha!$A$18:$BK$553,58,FALSE)</f>
        <v>21.91</v>
      </c>
      <c r="AB300" s="261">
        <f t="shared" si="247"/>
        <v>0</v>
      </c>
      <c r="AC300" s="267">
        <f t="shared" si="261"/>
        <v>14.95</v>
      </c>
      <c r="AD300" s="261">
        <f>VLOOKUP($A300,[1]Planilha!$A$18:$BK$553,49,FALSE)</f>
        <v>14.95</v>
      </c>
      <c r="AE300" s="261">
        <f t="shared" si="248"/>
        <v>0</v>
      </c>
      <c r="AF300" s="268">
        <f t="shared" si="262"/>
        <v>20.67</v>
      </c>
      <c r="AG300" s="261">
        <f>VLOOKUP($A300,[1]Planilha!$A$18:$BK$553,57,FALSE)</f>
        <v>20.67</v>
      </c>
      <c r="AH300" s="261">
        <f t="shared" si="249"/>
        <v>0</v>
      </c>
    </row>
    <row r="301" spans="1:34" s="124" customFormat="1">
      <c r="A301" s="233">
        <v>7891721023965</v>
      </c>
      <c r="B301" s="310">
        <v>1008902710169</v>
      </c>
      <c r="C301" s="128">
        <v>3183120001</v>
      </c>
      <c r="D301" s="380" t="s">
        <v>684</v>
      </c>
      <c r="E301" s="267">
        <f>ROUND(K301*1.025,2)</f>
        <v>37.29</v>
      </c>
      <c r="F301" s="261">
        <f>VLOOKUP($A301,[1]Planilha!$A$18:$BK$553,54,FALSE)</f>
        <v>36.83</v>
      </c>
      <c r="G301" s="261">
        <f t="shared" si="240"/>
        <v>0.46000000000000085</v>
      </c>
      <c r="H301" s="267">
        <f>ROUND(E301/0.723358,2)</f>
        <v>51.55</v>
      </c>
      <c r="I301" s="261">
        <f>VLOOKUP($A301,[1]Planilha!$A$18:$BK$553,62,FALSE)</f>
        <v>51.55</v>
      </c>
      <c r="J301" s="261">
        <f t="shared" si="241"/>
        <v>0</v>
      </c>
      <c r="K301" s="267">
        <f>VLOOKUP(A301,[2]Plan1!$H$2:$J$279,3,FALSE)</f>
        <v>36.377670933857651</v>
      </c>
      <c r="L301" s="261">
        <f>VLOOKUP($A301,[1]Planilha!$A$18:$BK$553,52,FALSE)</f>
        <v>36.380000000000003</v>
      </c>
      <c r="M301" s="261">
        <f t="shared" si="242"/>
        <v>-2.3290661423516212E-3</v>
      </c>
      <c r="N301" s="267">
        <f>ROUND(K301/0.723358,2)</f>
        <v>50.29</v>
      </c>
      <c r="O301" s="261">
        <f>VLOOKUP($A301,[1]Planilha!$A$18:$BK$553,60,FALSE)</f>
        <v>50.29</v>
      </c>
      <c r="P301" s="261">
        <f t="shared" si="243"/>
        <v>0</v>
      </c>
      <c r="Q301" s="267">
        <f t="shared" si="265"/>
        <v>36.159999999999997</v>
      </c>
      <c r="R301" s="261">
        <f>VLOOKUP($A301,[1]Planilha!$A$18:$BK$553,51,FALSE)</f>
        <v>36.159999999999997</v>
      </c>
      <c r="S301" s="261">
        <f t="shared" si="244"/>
        <v>0</v>
      </c>
      <c r="T301" s="267">
        <f t="shared" si="263"/>
        <v>49.99</v>
      </c>
      <c r="U301" s="261">
        <f>VLOOKUP($A301,[1]Planilha!$A$18:$BK$553,59,FALSE)</f>
        <v>49.99</v>
      </c>
      <c r="V301" s="261">
        <f t="shared" si="245"/>
        <v>0</v>
      </c>
      <c r="W301" s="267">
        <f t="shared" si="259"/>
        <v>35.94</v>
      </c>
      <c r="X301" s="261">
        <f>VLOOKUP($A301,[1]Planilha!$A$18:$BK$553,50,FALSE)</f>
        <v>35.94</v>
      </c>
      <c r="Y301" s="261">
        <f t="shared" si="246"/>
        <v>0</v>
      </c>
      <c r="Z301" s="267">
        <f t="shared" si="260"/>
        <v>49.68</v>
      </c>
      <c r="AA301" s="261">
        <f>VLOOKUP($A301,[1]Planilha!$A$18:$BK$553,58,FALSE)</f>
        <v>49.68</v>
      </c>
      <c r="AB301" s="261">
        <f t="shared" si="247"/>
        <v>0</v>
      </c>
      <c r="AC301" s="267">
        <f t="shared" si="261"/>
        <v>33.9</v>
      </c>
      <c r="AD301" s="261">
        <f>VLOOKUP($A301,[1]Planilha!$A$18:$BK$553,49,FALSE)</f>
        <v>33.9</v>
      </c>
      <c r="AE301" s="261">
        <f t="shared" si="248"/>
        <v>0</v>
      </c>
      <c r="AF301" s="268">
        <f t="shared" si="262"/>
        <v>46.86</v>
      </c>
      <c r="AG301" s="261">
        <f>VLOOKUP($A301,[1]Planilha!$A$18:$BK$553,57,FALSE)</f>
        <v>46.86</v>
      </c>
      <c r="AH301" s="261">
        <f t="shared" si="249"/>
        <v>0</v>
      </c>
    </row>
    <row r="302" spans="1:34" s="124" customFormat="1" ht="15">
      <c r="A302" s="414"/>
      <c r="B302" s="207" t="s">
        <v>303</v>
      </c>
      <c r="C302" s="208"/>
      <c r="D302" s="209"/>
      <c r="E302" s="188"/>
      <c r="F302" s="261" t="e">
        <f>VLOOKUP($A302,[1]Planilha!$A$18:$BK$553,54,FALSE)</f>
        <v>#N/A</v>
      </c>
      <c r="G302" s="261" t="e">
        <f t="shared" si="240"/>
        <v>#N/A</v>
      </c>
      <c r="H302" s="189"/>
      <c r="I302" s="261" t="e">
        <f>VLOOKUP($A302,[1]Planilha!$A$18:$BK$553,62,FALSE)</f>
        <v>#N/A</v>
      </c>
      <c r="J302" s="261" t="e">
        <f t="shared" si="241"/>
        <v>#N/A</v>
      </c>
      <c r="K302" s="267"/>
      <c r="L302" s="261" t="e">
        <f>VLOOKUP($A302,[1]Planilha!$A$18:$BK$553,52,FALSE)</f>
        <v>#N/A</v>
      </c>
      <c r="M302" s="261" t="e">
        <f t="shared" si="242"/>
        <v>#N/A</v>
      </c>
      <c r="N302" s="189"/>
      <c r="O302" s="261" t="e">
        <f>VLOOKUP($A302,[1]Planilha!$A$18:$BK$553,60,FALSE)</f>
        <v>#N/A</v>
      </c>
      <c r="P302" s="261" t="e">
        <f t="shared" si="243"/>
        <v>#N/A</v>
      </c>
      <c r="Q302" s="188"/>
      <c r="R302" s="261" t="e">
        <f>VLOOKUP($A302,[1]Planilha!$A$18:$BK$553,51,FALSE)</f>
        <v>#N/A</v>
      </c>
      <c r="S302" s="261" t="e">
        <f t="shared" si="244"/>
        <v>#N/A</v>
      </c>
      <c r="T302" s="189"/>
      <c r="U302" s="261" t="e">
        <f>VLOOKUP($A302,[1]Planilha!$A$18:$BK$553,59,FALSE)</f>
        <v>#N/A</v>
      </c>
      <c r="V302" s="261" t="e">
        <f t="shared" si="245"/>
        <v>#N/A</v>
      </c>
      <c r="W302" s="188"/>
      <c r="X302" s="261" t="e">
        <f>VLOOKUP($A302,[1]Planilha!$A$18:$BK$553,50,FALSE)</f>
        <v>#N/A</v>
      </c>
      <c r="Y302" s="261" t="e">
        <f t="shared" si="246"/>
        <v>#N/A</v>
      </c>
      <c r="Z302" s="189"/>
      <c r="AA302" s="261" t="e">
        <f>VLOOKUP($A302,[1]Planilha!$A$18:$BK$553,58,FALSE)</f>
        <v>#N/A</v>
      </c>
      <c r="AB302" s="261" t="e">
        <f t="shared" si="247"/>
        <v>#N/A</v>
      </c>
      <c r="AC302" s="188"/>
      <c r="AD302" s="261" t="e">
        <f>VLOOKUP($A302,[1]Planilha!$A$18:$BK$553,49,FALSE)</f>
        <v>#N/A</v>
      </c>
      <c r="AE302" s="261" t="e">
        <f t="shared" si="248"/>
        <v>#N/A</v>
      </c>
      <c r="AF302" s="191"/>
      <c r="AG302" s="261" t="e">
        <f>VLOOKUP($A302,[1]Planilha!$A$18:$BK$553,57,FALSE)</f>
        <v>#N/A</v>
      </c>
      <c r="AH302" s="261" t="e">
        <f t="shared" si="249"/>
        <v>#N/A</v>
      </c>
    </row>
    <row r="303" spans="1:34" s="124" customFormat="1">
      <c r="A303" s="233">
        <v>7891721028946</v>
      </c>
      <c r="B303" s="126">
        <v>1008900150433</v>
      </c>
      <c r="C303" s="126">
        <v>3185640004</v>
      </c>
      <c r="D303" s="214" t="s">
        <v>725</v>
      </c>
      <c r="E303" s="267">
        <f t="shared" ref="E303:E309" si="267">ROUND(K303*1.025,2)</f>
        <v>2.37</v>
      </c>
      <c r="F303" s="261">
        <f>VLOOKUP($A303,[1]Planilha!$A$18:$BK$553,54,FALSE)</f>
        <v>2.34</v>
      </c>
      <c r="G303" s="261">
        <f t="shared" si="240"/>
        <v>3.0000000000000249E-2</v>
      </c>
      <c r="H303" s="267">
        <f t="shared" ref="H303:H309" si="268">ROUND(E303/0.723358,2)</f>
        <v>3.28</v>
      </c>
      <c r="I303" s="261">
        <f>VLOOKUP($A303,[1]Planilha!$A$18:$BK$553,62,FALSE)</f>
        <v>3.28</v>
      </c>
      <c r="J303" s="261">
        <f t="shared" si="241"/>
        <v>0</v>
      </c>
      <c r="K303" s="267">
        <f>VLOOKUP(A303,[2]Plan1!$H$2:$J$279,3,FALSE)</f>
        <v>2.3109804884144731</v>
      </c>
      <c r="L303" s="261">
        <f>VLOOKUP($A303,[1]Planilha!$A$18:$BK$553,52,FALSE)</f>
        <v>2.31</v>
      </c>
      <c r="M303" s="261">
        <f t="shared" si="242"/>
        <v>9.8048841447306856E-4</v>
      </c>
      <c r="N303" s="267">
        <f t="shared" ref="N303:N309" si="269">ROUND(K303/0.723358,2)</f>
        <v>3.19</v>
      </c>
      <c r="O303" s="261">
        <f>VLOOKUP($A303,[1]Planilha!$A$18:$BK$553,60,FALSE)</f>
        <v>3.19</v>
      </c>
      <c r="P303" s="261">
        <f t="shared" si="243"/>
        <v>0</v>
      </c>
      <c r="Q303" s="267">
        <f t="shared" si="265"/>
        <v>2.2999999999999998</v>
      </c>
      <c r="R303" s="261">
        <f>VLOOKUP($A303,[1]Planilha!$A$18:$BK$553,51,FALSE)</f>
        <v>2.2999999999999998</v>
      </c>
      <c r="S303" s="261">
        <f t="shared" si="244"/>
        <v>0</v>
      </c>
      <c r="T303" s="267">
        <f t="shared" si="263"/>
        <v>3.18</v>
      </c>
      <c r="U303" s="261">
        <f>VLOOKUP($A303,[1]Planilha!$A$18:$BK$553,59,FALSE)</f>
        <v>3.18</v>
      </c>
      <c r="V303" s="261">
        <f t="shared" si="245"/>
        <v>0</v>
      </c>
      <c r="W303" s="267">
        <f t="shared" si="259"/>
        <v>2.2799999999999998</v>
      </c>
      <c r="X303" s="261">
        <f>VLOOKUP($A303,[1]Planilha!$A$18:$BK$553,50,FALSE)</f>
        <v>2.2799999999999998</v>
      </c>
      <c r="Y303" s="261">
        <f t="shared" si="246"/>
        <v>0</v>
      </c>
      <c r="Z303" s="267">
        <f t="shared" si="260"/>
        <v>3.15</v>
      </c>
      <c r="AA303" s="261">
        <f>VLOOKUP($A303,[1]Planilha!$A$18:$BK$553,58,FALSE)</f>
        <v>3.15</v>
      </c>
      <c r="AB303" s="261">
        <f t="shared" si="247"/>
        <v>0</v>
      </c>
      <c r="AC303" s="267">
        <f t="shared" si="261"/>
        <v>2.15</v>
      </c>
      <c r="AD303" s="261">
        <f>VLOOKUP($A303,[1]Planilha!$A$18:$BK$553,49,FALSE)</f>
        <v>2.15</v>
      </c>
      <c r="AE303" s="261">
        <f t="shared" si="248"/>
        <v>0</v>
      </c>
      <c r="AF303" s="268">
        <f t="shared" si="262"/>
        <v>2.97</v>
      </c>
      <c r="AG303" s="261">
        <f>VLOOKUP($A303,[1]Planilha!$A$18:$BK$553,57,FALSE)</f>
        <v>2.97</v>
      </c>
      <c r="AH303" s="261">
        <f t="shared" si="249"/>
        <v>0</v>
      </c>
    </row>
    <row r="304" spans="1:34" s="124" customFormat="1">
      <c r="A304" s="233">
        <v>7891721020520</v>
      </c>
      <c r="B304" s="126">
        <v>1008900150425</v>
      </c>
      <c r="C304" s="121" t="s">
        <v>410</v>
      </c>
      <c r="D304" s="214" t="s">
        <v>689</v>
      </c>
      <c r="E304" s="267">
        <f t="shared" si="267"/>
        <v>7.12</v>
      </c>
      <c r="F304" s="261">
        <f>VLOOKUP($A304,[1]Planilha!$A$18:$BK$553,54,FALSE)</f>
        <v>7.03</v>
      </c>
      <c r="G304" s="261">
        <f t="shared" si="240"/>
        <v>8.9999999999999858E-2</v>
      </c>
      <c r="H304" s="267">
        <f t="shared" si="268"/>
        <v>9.84</v>
      </c>
      <c r="I304" s="261">
        <f>VLOOKUP($A304,[1]Planilha!$A$18:$BK$553,62,FALSE)</f>
        <v>9.84</v>
      </c>
      <c r="J304" s="261">
        <f t="shared" si="241"/>
        <v>0</v>
      </c>
      <c r="K304" s="267">
        <f>VLOOKUP(A304,[2]Plan1!$H$2:$J$279,3,FALSE)</f>
        <v>6.9430773445785707</v>
      </c>
      <c r="L304" s="261">
        <f>VLOOKUP($A304,[1]Planilha!$A$18:$BK$553,52,FALSE)</f>
        <v>6.94</v>
      </c>
      <c r="M304" s="261">
        <f t="shared" si="242"/>
        <v>3.0773445785703402E-3</v>
      </c>
      <c r="N304" s="267">
        <f t="shared" si="269"/>
        <v>9.6</v>
      </c>
      <c r="O304" s="261">
        <f>VLOOKUP($A304,[1]Planilha!$A$18:$BK$553,60,FALSE)</f>
        <v>9.6</v>
      </c>
      <c r="P304" s="261">
        <f t="shared" si="243"/>
        <v>0</v>
      </c>
      <c r="Q304" s="267">
        <f t="shared" si="265"/>
        <v>6.9</v>
      </c>
      <c r="R304" s="261">
        <f>VLOOKUP($A304,[1]Planilha!$A$18:$BK$553,51,FALSE)</f>
        <v>6.9</v>
      </c>
      <c r="S304" s="261">
        <f t="shared" si="244"/>
        <v>0</v>
      </c>
      <c r="T304" s="267">
        <f t="shared" si="263"/>
        <v>9.5399999999999991</v>
      </c>
      <c r="U304" s="261">
        <f>VLOOKUP($A304,[1]Planilha!$A$18:$BK$553,59,FALSE)</f>
        <v>9.5399999999999991</v>
      </c>
      <c r="V304" s="261">
        <f t="shared" si="245"/>
        <v>0</v>
      </c>
      <c r="W304" s="267">
        <f t="shared" si="259"/>
        <v>6.86</v>
      </c>
      <c r="X304" s="261">
        <f>VLOOKUP($A304,[1]Planilha!$A$18:$BK$553,50,FALSE)</f>
        <v>6.86</v>
      </c>
      <c r="Y304" s="261">
        <f t="shared" si="246"/>
        <v>0</v>
      </c>
      <c r="Z304" s="267">
        <f t="shared" si="260"/>
        <v>9.48</v>
      </c>
      <c r="AA304" s="261">
        <f>VLOOKUP($A304,[1]Planilha!$A$18:$BK$553,58,FALSE)</f>
        <v>9.48</v>
      </c>
      <c r="AB304" s="261">
        <f t="shared" si="247"/>
        <v>0</v>
      </c>
      <c r="AC304" s="267">
        <f t="shared" si="261"/>
        <v>6.47</v>
      </c>
      <c r="AD304" s="261">
        <f>VLOOKUP($A304,[1]Planilha!$A$18:$BK$553,49,FALSE)</f>
        <v>6.47</v>
      </c>
      <c r="AE304" s="261">
        <f t="shared" si="248"/>
        <v>0</v>
      </c>
      <c r="AF304" s="268">
        <f t="shared" si="262"/>
        <v>8.94</v>
      </c>
      <c r="AG304" s="261">
        <f>VLOOKUP($A304,[1]Planilha!$A$18:$BK$553,57,FALSE)</f>
        <v>8.94</v>
      </c>
      <c r="AH304" s="261">
        <f t="shared" si="249"/>
        <v>0</v>
      </c>
    </row>
    <row r="305" spans="1:34" s="124" customFormat="1">
      <c r="A305" s="233">
        <v>7891721028939</v>
      </c>
      <c r="B305" s="126">
        <v>1008900150451</v>
      </c>
      <c r="C305" s="126">
        <v>3185710001</v>
      </c>
      <c r="D305" s="214" t="s">
        <v>726</v>
      </c>
      <c r="E305" s="267">
        <f t="shared" si="267"/>
        <v>3.46</v>
      </c>
      <c r="F305" s="261">
        <f>VLOOKUP($A305,[1]Planilha!$A$18:$BK$553,54,FALSE)</f>
        <v>3.42</v>
      </c>
      <c r="G305" s="261">
        <f t="shared" si="240"/>
        <v>4.0000000000000036E-2</v>
      </c>
      <c r="H305" s="267">
        <f t="shared" si="268"/>
        <v>4.78</v>
      </c>
      <c r="I305" s="261">
        <f>VLOOKUP($A305,[1]Planilha!$A$18:$BK$553,62,FALSE)</f>
        <v>4.78</v>
      </c>
      <c r="J305" s="261">
        <f t="shared" si="241"/>
        <v>0</v>
      </c>
      <c r="K305" s="267">
        <f>VLOOKUP(A305,[2]Plan1!$H$2:$J$279,3,FALSE)</f>
        <v>3.3752478186053492</v>
      </c>
      <c r="L305" s="261">
        <f>VLOOKUP($A305,[1]Planilha!$A$18:$BK$553,52,FALSE)</f>
        <v>3.38</v>
      </c>
      <c r="M305" s="261">
        <f t="shared" si="242"/>
        <v>-4.752181394650723E-3</v>
      </c>
      <c r="N305" s="267">
        <f t="shared" si="269"/>
        <v>4.67</v>
      </c>
      <c r="O305" s="261">
        <f>VLOOKUP($A305,[1]Planilha!$A$18:$BK$553,60,FALSE)</f>
        <v>4.67</v>
      </c>
      <c r="P305" s="261">
        <f t="shared" si="243"/>
        <v>0</v>
      </c>
      <c r="Q305" s="267">
        <f t="shared" si="265"/>
        <v>3.35</v>
      </c>
      <c r="R305" s="261">
        <f>VLOOKUP($A305,[1]Planilha!$A$18:$BK$553,51,FALSE)</f>
        <v>3.35</v>
      </c>
      <c r="S305" s="261">
        <f t="shared" si="244"/>
        <v>0</v>
      </c>
      <c r="T305" s="267">
        <f t="shared" si="263"/>
        <v>4.63</v>
      </c>
      <c r="U305" s="261">
        <f>VLOOKUP($A305,[1]Planilha!$A$18:$BK$553,59,FALSE)</f>
        <v>4.63</v>
      </c>
      <c r="V305" s="261">
        <f t="shared" si="245"/>
        <v>0</v>
      </c>
      <c r="W305" s="267">
        <f t="shared" si="259"/>
        <v>3.33</v>
      </c>
      <c r="X305" s="261">
        <f>VLOOKUP($A305,[1]Planilha!$A$18:$BK$553,50,FALSE)</f>
        <v>3.33</v>
      </c>
      <c r="Y305" s="261">
        <f t="shared" si="246"/>
        <v>0</v>
      </c>
      <c r="Z305" s="267">
        <f t="shared" si="260"/>
        <v>4.5999999999999996</v>
      </c>
      <c r="AA305" s="261">
        <f>VLOOKUP($A305,[1]Planilha!$A$18:$BK$553,58,FALSE)</f>
        <v>4.5999999999999996</v>
      </c>
      <c r="AB305" s="261">
        <f t="shared" si="247"/>
        <v>0</v>
      </c>
      <c r="AC305" s="484">
        <v>3.14</v>
      </c>
      <c r="AD305" s="261">
        <f>VLOOKUP($A305,[1]Planilha!$A$18:$BK$553,49,FALSE)</f>
        <v>3.14</v>
      </c>
      <c r="AE305" s="261">
        <f t="shared" si="248"/>
        <v>0</v>
      </c>
      <c r="AF305" s="268">
        <f t="shared" si="262"/>
        <v>4.34</v>
      </c>
      <c r="AG305" s="261">
        <f>VLOOKUP($A305,[1]Planilha!$A$18:$BK$553,57,FALSE)</f>
        <v>4.34</v>
      </c>
      <c r="AH305" s="261">
        <f t="shared" si="249"/>
        <v>0</v>
      </c>
    </row>
    <row r="306" spans="1:34" s="124" customFormat="1">
      <c r="A306" s="233">
        <v>7891721020506</v>
      </c>
      <c r="B306" s="126">
        <v>1008900150441</v>
      </c>
      <c r="C306" s="126" t="s">
        <v>409</v>
      </c>
      <c r="D306" s="214" t="s">
        <v>690</v>
      </c>
      <c r="E306" s="267">
        <f t="shared" si="267"/>
        <v>10.39</v>
      </c>
      <c r="F306" s="261">
        <f>VLOOKUP($A306,[1]Planilha!$A$18:$BK$553,54,FALSE)</f>
        <v>10.26</v>
      </c>
      <c r="G306" s="261">
        <f t="shared" si="240"/>
        <v>0.13000000000000078</v>
      </c>
      <c r="H306" s="267">
        <f t="shared" si="268"/>
        <v>14.36</v>
      </c>
      <c r="I306" s="261">
        <f>VLOOKUP($A306,[1]Planilha!$A$18:$BK$553,62,FALSE)</f>
        <v>14.36</v>
      </c>
      <c r="J306" s="261">
        <f t="shared" si="241"/>
        <v>0</v>
      </c>
      <c r="K306" s="267">
        <f>VLOOKUP(A306,[2]Plan1!$H$2:$J$279,3,FALSE)</f>
        <v>10.135879335151198</v>
      </c>
      <c r="L306" s="261">
        <f>VLOOKUP($A306,[1]Planilha!$A$18:$BK$553,52,FALSE)</f>
        <v>10.14</v>
      </c>
      <c r="M306" s="261">
        <f t="shared" si="242"/>
        <v>-4.1206648488021358E-3</v>
      </c>
      <c r="N306" s="267">
        <f t="shared" si="269"/>
        <v>14.01</v>
      </c>
      <c r="O306" s="261">
        <f>VLOOKUP($A306,[1]Planilha!$A$18:$BK$553,60,FALSE)</f>
        <v>14.01</v>
      </c>
      <c r="P306" s="261">
        <f t="shared" si="243"/>
        <v>0</v>
      </c>
      <c r="Q306" s="267">
        <f t="shared" si="265"/>
        <v>10.07</v>
      </c>
      <c r="R306" s="261">
        <f>VLOOKUP($A306,[1]Planilha!$A$18:$BK$553,51,FALSE)</f>
        <v>10.07</v>
      </c>
      <c r="S306" s="261">
        <f t="shared" si="244"/>
        <v>0</v>
      </c>
      <c r="T306" s="267">
        <f t="shared" si="263"/>
        <v>13.92</v>
      </c>
      <c r="U306" s="261">
        <f>VLOOKUP($A306,[1]Planilha!$A$18:$BK$553,59,FALSE)</f>
        <v>13.92</v>
      </c>
      <c r="V306" s="261">
        <f t="shared" si="245"/>
        <v>0</v>
      </c>
      <c r="W306" s="267">
        <f t="shared" si="259"/>
        <v>10.01</v>
      </c>
      <c r="X306" s="261">
        <f>VLOOKUP($A306,[1]Planilha!$A$18:$BK$553,50,FALSE)</f>
        <v>10.01</v>
      </c>
      <c r="Y306" s="261">
        <f t="shared" si="246"/>
        <v>0</v>
      </c>
      <c r="Z306" s="267">
        <f t="shared" si="260"/>
        <v>13.84</v>
      </c>
      <c r="AA306" s="261">
        <f>VLOOKUP($A306,[1]Planilha!$A$18:$BK$553,58,FALSE)</f>
        <v>13.84</v>
      </c>
      <c r="AB306" s="261">
        <f t="shared" si="247"/>
        <v>0</v>
      </c>
      <c r="AC306" s="267">
        <f t="shared" si="261"/>
        <v>9.44</v>
      </c>
      <c r="AD306" s="261">
        <f>VLOOKUP($A306,[1]Planilha!$A$18:$BK$553,49,FALSE)</f>
        <v>9.44</v>
      </c>
      <c r="AE306" s="261">
        <f t="shared" si="248"/>
        <v>0</v>
      </c>
      <c r="AF306" s="268">
        <f t="shared" si="262"/>
        <v>13.05</v>
      </c>
      <c r="AG306" s="261">
        <f>VLOOKUP($A306,[1]Planilha!$A$18:$BK$553,57,FALSE)</f>
        <v>13.05</v>
      </c>
      <c r="AH306" s="261">
        <f t="shared" si="249"/>
        <v>0</v>
      </c>
    </row>
    <row r="307" spans="1:34" s="124" customFormat="1">
      <c r="A307" s="233">
        <v>7891721000133</v>
      </c>
      <c r="B307" s="205" t="s">
        <v>31</v>
      </c>
      <c r="C307" s="126" t="s">
        <v>499</v>
      </c>
      <c r="D307" s="214" t="s">
        <v>489</v>
      </c>
      <c r="E307" s="267">
        <f t="shared" si="267"/>
        <v>38.770000000000003</v>
      </c>
      <c r="F307" s="261">
        <f>VLOOKUP($A307,[1]Planilha!$A$18:$BK$553,54,FALSE)</f>
        <v>38.29</v>
      </c>
      <c r="G307" s="261">
        <f t="shared" si="240"/>
        <v>0.48000000000000398</v>
      </c>
      <c r="H307" s="267">
        <f t="shared" si="268"/>
        <v>53.6</v>
      </c>
      <c r="I307" s="261">
        <f>VLOOKUP($A307,[1]Planilha!$A$18:$BK$553,62,FALSE)</f>
        <v>53.6</v>
      </c>
      <c r="J307" s="261">
        <f t="shared" si="241"/>
        <v>0</v>
      </c>
      <c r="K307" s="267">
        <f>VLOOKUP(A307,[2]Plan1!$H$2:$J$279,3,FALSE)</f>
        <v>37.827101678784274</v>
      </c>
      <c r="L307" s="261">
        <f>VLOOKUP($A307,[1]Planilha!$A$18:$BK$553,52,FALSE)</f>
        <v>37.83</v>
      </c>
      <c r="M307" s="261">
        <f t="shared" si="242"/>
        <v>-2.8983212157243088E-3</v>
      </c>
      <c r="N307" s="267">
        <f t="shared" si="269"/>
        <v>52.29</v>
      </c>
      <c r="O307" s="261">
        <f>VLOOKUP($A307,[1]Planilha!$A$18:$BK$553,60,FALSE)</f>
        <v>52.29</v>
      </c>
      <c r="P307" s="261">
        <f t="shared" si="243"/>
        <v>0</v>
      </c>
      <c r="Q307" s="267">
        <f t="shared" si="265"/>
        <v>37.6</v>
      </c>
      <c r="R307" s="261">
        <f>VLOOKUP($A307,[1]Planilha!$A$18:$BK$553,51,FALSE)</f>
        <v>37.6</v>
      </c>
      <c r="S307" s="261">
        <f t="shared" si="244"/>
        <v>0</v>
      </c>
      <c r="T307" s="267">
        <f t="shared" si="263"/>
        <v>51.98</v>
      </c>
      <c r="U307" s="261">
        <f>VLOOKUP($A307,[1]Planilha!$A$18:$BK$553,59,FALSE)</f>
        <v>51.98</v>
      </c>
      <c r="V307" s="261">
        <f t="shared" si="245"/>
        <v>0</v>
      </c>
      <c r="W307" s="267">
        <f t="shared" si="259"/>
        <v>37.369999999999997</v>
      </c>
      <c r="X307" s="261">
        <f>VLOOKUP($A307,[1]Planilha!$A$18:$BK$553,50,FALSE)</f>
        <v>37.369999999999997</v>
      </c>
      <c r="Y307" s="261">
        <f t="shared" si="246"/>
        <v>0</v>
      </c>
      <c r="Z307" s="267">
        <f t="shared" si="260"/>
        <v>51.66</v>
      </c>
      <c r="AA307" s="261">
        <f>VLOOKUP($A307,[1]Planilha!$A$18:$BK$553,58,FALSE)</f>
        <v>51.66</v>
      </c>
      <c r="AB307" s="261">
        <f t="shared" si="247"/>
        <v>0</v>
      </c>
      <c r="AC307" s="267">
        <f t="shared" si="261"/>
        <v>35.25</v>
      </c>
      <c r="AD307" s="261">
        <f>VLOOKUP($A307,[1]Planilha!$A$18:$BK$553,49,FALSE)</f>
        <v>35.25</v>
      </c>
      <c r="AE307" s="261">
        <f t="shared" si="248"/>
        <v>0</v>
      </c>
      <c r="AF307" s="268">
        <f t="shared" si="262"/>
        <v>48.73</v>
      </c>
      <c r="AG307" s="261">
        <f>VLOOKUP($A307,[1]Planilha!$A$18:$BK$553,57,FALSE)</f>
        <v>48.73</v>
      </c>
      <c r="AH307" s="261">
        <f t="shared" si="249"/>
        <v>0</v>
      </c>
    </row>
    <row r="308" spans="1:34" s="124" customFormat="1">
      <c r="A308" s="233">
        <v>7891721028335</v>
      </c>
      <c r="B308" s="205">
        <v>1008900150131</v>
      </c>
      <c r="C308" s="126">
        <v>3191010002</v>
      </c>
      <c r="D308" s="214" t="s">
        <v>723</v>
      </c>
      <c r="E308" s="267">
        <f t="shared" si="267"/>
        <v>38.770000000000003</v>
      </c>
      <c r="F308" s="261">
        <f>VLOOKUP($A308,[1]Planilha!$A$18:$BK$553,54,FALSE)</f>
        <v>38.29</v>
      </c>
      <c r="G308" s="261">
        <f t="shared" si="240"/>
        <v>0.48000000000000398</v>
      </c>
      <c r="H308" s="267">
        <f t="shared" si="268"/>
        <v>53.6</v>
      </c>
      <c r="I308" s="261">
        <f>VLOOKUP($A308,[1]Planilha!$A$18:$BK$553,62,FALSE)</f>
        <v>53.6</v>
      </c>
      <c r="J308" s="261">
        <f t="shared" si="241"/>
        <v>0</v>
      </c>
      <c r="K308" s="267">
        <f>VLOOKUP(A308,[2]Plan1!$H$2:$J$279,3,FALSE)</f>
        <v>37.827101678784274</v>
      </c>
      <c r="L308" s="261">
        <f>VLOOKUP($A308,[1]Planilha!$A$18:$BK$553,52,FALSE)</f>
        <v>37.83</v>
      </c>
      <c r="M308" s="261">
        <f t="shared" si="242"/>
        <v>-2.8983212157243088E-3</v>
      </c>
      <c r="N308" s="267">
        <f t="shared" si="269"/>
        <v>52.29</v>
      </c>
      <c r="O308" s="261">
        <f>VLOOKUP($A308,[1]Planilha!$A$18:$BK$553,60,FALSE)</f>
        <v>52.29</v>
      </c>
      <c r="P308" s="261">
        <f t="shared" si="243"/>
        <v>0</v>
      </c>
      <c r="Q308" s="267">
        <f t="shared" si="265"/>
        <v>37.6</v>
      </c>
      <c r="R308" s="261">
        <f>VLOOKUP($A308,[1]Planilha!$A$18:$BK$553,51,FALSE)</f>
        <v>37.6</v>
      </c>
      <c r="S308" s="261">
        <f t="shared" si="244"/>
        <v>0</v>
      </c>
      <c r="T308" s="267">
        <f t="shared" si="263"/>
        <v>51.98</v>
      </c>
      <c r="U308" s="261">
        <f>VLOOKUP($A308,[1]Planilha!$A$18:$BK$553,59,FALSE)</f>
        <v>51.98</v>
      </c>
      <c r="V308" s="261">
        <f t="shared" si="245"/>
        <v>0</v>
      </c>
      <c r="W308" s="267">
        <f t="shared" si="259"/>
        <v>37.369999999999997</v>
      </c>
      <c r="X308" s="261">
        <f>VLOOKUP($A308,[1]Planilha!$A$18:$BK$553,50,FALSE)</f>
        <v>37.369999999999997</v>
      </c>
      <c r="Y308" s="261">
        <f t="shared" si="246"/>
        <v>0</v>
      </c>
      <c r="Z308" s="267">
        <f t="shared" si="260"/>
        <v>51.66</v>
      </c>
      <c r="AA308" s="261">
        <f>VLOOKUP($A308,[1]Planilha!$A$18:$BK$553,58,FALSE)</f>
        <v>51.66</v>
      </c>
      <c r="AB308" s="261">
        <f t="shared" si="247"/>
        <v>0</v>
      </c>
      <c r="AC308" s="267">
        <f t="shared" si="261"/>
        <v>35.25</v>
      </c>
      <c r="AD308" s="261">
        <f>VLOOKUP($A308,[1]Planilha!$A$18:$BK$553,49,FALSE)</f>
        <v>35.25</v>
      </c>
      <c r="AE308" s="261">
        <f t="shared" si="248"/>
        <v>0</v>
      </c>
      <c r="AF308" s="268">
        <f t="shared" si="262"/>
        <v>48.73</v>
      </c>
      <c r="AG308" s="261">
        <f>VLOOKUP($A308,[1]Planilha!$A$18:$BK$553,57,FALSE)</f>
        <v>48.73</v>
      </c>
      <c r="AH308" s="261">
        <f t="shared" si="249"/>
        <v>0</v>
      </c>
    </row>
    <row r="309" spans="1:34" s="124" customFormat="1" ht="13.5" thickBot="1">
      <c r="A309" s="233">
        <v>7891721029394</v>
      </c>
      <c r="B309" s="205">
        <v>1008900150158</v>
      </c>
      <c r="C309" s="126">
        <v>3191010004</v>
      </c>
      <c r="D309" s="214" t="s">
        <v>733</v>
      </c>
      <c r="E309" s="267">
        <f t="shared" si="267"/>
        <v>100.52</v>
      </c>
      <c r="F309" s="261">
        <f>VLOOKUP($A309,[1]Planilha!$A$18:$BK$553,54,FALSE)</f>
        <v>99.28</v>
      </c>
      <c r="G309" s="261">
        <f t="shared" si="240"/>
        <v>1.2399999999999949</v>
      </c>
      <c r="H309" s="267">
        <f t="shared" si="268"/>
        <v>138.96</v>
      </c>
      <c r="I309" s="261">
        <f>VLOOKUP($A309,[1]Planilha!$A$18:$BK$553,62,FALSE)</f>
        <v>138.96</v>
      </c>
      <c r="J309" s="261">
        <f t="shared" si="241"/>
        <v>0</v>
      </c>
      <c r="K309" s="267">
        <f>VLOOKUP(A309,[2]Plan1!$H$2:$J$279,3,FALSE)</f>
        <v>98.06463256758785</v>
      </c>
      <c r="L309" s="261">
        <f>VLOOKUP($A309,[1]Planilha!$A$18:$BK$553,52,FALSE)</f>
        <v>98.06</v>
      </c>
      <c r="M309" s="261">
        <f t="shared" si="242"/>
        <v>4.6325675878478023E-3</v>
      </c>
      <c r="N309" s="267">
        <f t="shared" si="269"/>
        <v>135.57</v>
      </c>
      <c r="O309" s="261">
        <f>VLOOKUP($A309,[1]Planilha!$A$18:$BK$553,60,FALSE)</f>
        <v>135.57</v>
      </c>
      <c r="P309" s="261">
        <f t="shared" si="243"/>
        <v>0</v>
      </c>
      <c r="Q309" s="267">
        <f t="shared" si="265"/>
        <v>97.47</v>
      </c>
      <c r="R309" s="261">
        <f>VLOOKUP($A309,[1]Planilha!$A$18:$BK$553,51,FALSE)</f>
        <v>97.47</v>
      </c>
      <c r="S309" s="261">
        <f t="shared" si="244"/>
        <v>0</v>
      </c>
      <c r="T309" s="267">
        <f t="shared" si="263"/>
        <v>134.75</v>
      </c>
      <c r="U309" s="261">
        <f>VLOOKUP($A309,[1]Planilha!$A$18:$BK$553,59,FALSE)</f>
        <v>134.75</v>
      </c>
      <c r="V309" s="261">
        <f t="shared" si="245"/>
        <v>0</v>
      </c>
      <c r="W309" s="267">
        <f t="shared" si="259"/>
        <v>96.88</v>
      </c>
      <c r="X309" s="261">
        <f>VLOOKUP($A309,[1]Planilha!$A$18:$BK$553,50,FALSE)</f>
        <v>96.88</v>
      </c>
      <c r="Y309" s="261">
        <f t="shared" si="246"/>
        <v>0</v>
      </c>
      <c r="Z309" s="267">
        <f t="shared" si="260"/>
        <v>133.93</v>
      </c>
      <c r="AA309" s="261">
        <f>VLOOKUP($A309,[1]Planilha!$A$18:$BK$553,58,FALSE)</f>
        <v>133.93</v>
      </c>
      <c r="AB309" s="261">
        <f t="shared" si="247"/>
        <v>0</v>
      </c>
      <c r="AC309" s="267">
        <f t="shared" si="261"/>
        <v>91.38</v>
      </c>
      <c r="AD309" s="261">
        <f>VLOOKUP($A309,[1]Planilha!$A$18:$BK$553,49,FALSE)</f>
        <v>91.38</v>
      </c>
      <c r="AE309" s="261">
        <f t="shared" si="248"/>
        <v>0</v>
      </c>
      <c r="AF309" s="268">
        <f t="shared" si="262"/>
        <v>126.33</v>
      </c>
      <c r="AG309" s="261">
        <f>VLOOKUP($A309,[1]Planilha!$A$18:$BK$553,57,FALSE)</f>
        <v>126.33</v>
      </c>
      <c r="AH309" s="261">
        <f t="shared" si="249"/>
        <v>0</v>
      </c>
    </row>
    <row r="310" spans="1:34" s="124" customFormat="1" ht="13.5" thickBot="1">
      <c r="A310" s="679"/>
      <c r="B310" s="170"/>
      <c r="C310" s="170"/>
      <c r="D310" s="171"/>
      <c r="E310" s="235"/>
      <c r="F310" s="261" t="e">
        <f>VLOOKUP($A310,[1]Planilha!$A$18:$BK$553,54,FALSE)</f>
        <v>#N/A</v>
      </c>
      <c r="G310" s="261" t="e">
        <f t="shared" si="240"/>
        <v>#N/A</v>
      </c>
      <c r="H310" s="236"/>
      <c r="I310" s="261" t="e">
        <f>VLOOKUP($A310,[1]Planilha!$A$18:$BK$553,62,FALSE)</f>
        <v>#N/A</v>
      </c>
      <c r="J310" s="261" t="e">
        <f t="shared" si="241"/>
        <v>#N/A</v>
      </c>
      <c r="K310" s="237"/>
      <c r="L310" s="261" t="e">
        <f>VLOOKUP($A310,[1]Planilha!$A$18:$BK$553,52,FALSE)</f>
        <v>#N/A</v>
      </c>
      <c r="M310" s="261" t="e">
        <f t="shared" si="242"/>
        <v>#N/A</v>
      </c>
      <c r="N310" s="236"/>
      <c r="O310" s="261" t="e">
        <f>VLOOKUP($A310,[1]Planilha!$A$18:$BK$553,60,FALSE)</f>
        <v>#N/A</v>
      </c>
      <c r="P310" s="261" t="e">
        <f t="shared" si="243"/>
        <v>#N/A</v>
      </c>
      <c r="Q310" s="238"/>
      <c r="R310" s="261" t="e">
        <f>VLOOKUP($A310,[1]Planilha!$A$18:$BK$553,51,FALSE)</f>
        <v>#N/A</v>
      </c>
      <c r="S310" s="261" t="e">
        <f t="shared" si="244"/>
        <v>#N/A</v>
      </c>
      <c r="T310" s="236"/>
      <c r="U310" s="261" t="e">
        <f>VLOOKUP($A310,[1]Planilha!$A$18:$BK$553,59,FALSE)</f>
        <v>#N/A</v>
      </c>
      <c r="V310" s="261" t="e">
        <f t="shared" si="245"/>
        <v>#N/A</v>
      </c>
      <c r="W310" s="238"/>
      <c r="X310" s="261" t="e">
        <f>VLOOKUP($A310,[1]Planilha!$A$18:$BK$553,50,FALSE)</f>
        <v>#N/A</v>
      </c>
      <c r="Y310" s="261" t="e">
        <f t="shared" si="246"/>
        <v>#N/A</v>
      </c>
      <c r="Z310" s="236"/>
      <c r="AA310" s="261" t="e">
        <f>VLOOKUP($A310,[1]Planilha!$A$18:$BK$553,58,FALSE)</f>
        <v>#N/A</v>
      </c>
      <c r="AB310" s="261" t="e">
        <f t="shared" si="247"/>
        <v>#N/A</v>
      </c>
      <c r="AC310" s="238"/>
      <c r="AD310" s="261" t="e">
        <f>VLOOKUP($A310,[1]Planilha!$A$18:$BK$553,49,FALSE)</f>
        <v>#N/A</v>
      </c>
      <c r="AE310" s="261" t="e">
        <f t="shared" si="248"/>
        <v>#N/A</v>
      </c>
      <c r="AF310" s="239"/>
      <c r="AG310" s="261" t="e">
        <f>VLOOKUP($A310,[1]Planilha!$A$18:$BK$553,57,FALSE)</f>
        <v>#N/A</v>
      </c>
      <c r="AH310" s="261" t="e">
        <f t="shared" si="249"/>
        <v>#N/A</v>
      </c>
    </row>
    <row r="311" spans="1:34" s="124" customFormat="1" ht="18.75" customHeight="1" thickBot="1">
      <c r="A311" s="680" t="s">
        <v>295</v>
      </c>
      <c r="B311" s="451" t="s">
        <v>294</v>
      </c>
      <c r="C311" s="452"/>
      <c r="D311" s="453"/>
      <c r="E311" s="454" t="s">
        <v>741</v>
      </c>
      <c r="F311" s="261" t="e">
        <f>VLOOKUP($A311,[1]Planilha!$A$18:$BK$553,54,FALSE)</f>
        <v>#N/A</v>
      </c>
      <c r="G311" s="261" t="e">
        <f t="shared" si="240"/>
        <v>#VALUE!</v>
      </c>
      <c r="H311" s="455"/>
      <c r="I311" s="261" t="e">
        <f>VLOOKUP($A311,[1]Planilha!$A$18:$BK$553,62,FALSE)</f>
        <v>#N/A</v>
      </c>
      <c r="J311" s="261" t="e">
        <f t="shared" si="241"/>
        <v>#N/A</v>
      </c>
      <c r="K311" s="454" t="s">
        <v>292</v>
      </c>
      <c r="L311" s="261" t="e">
        <f>VLOOKUP($A311,[1]Planilha!$A$18:$BK$553,52,FALSE)</f>
        <v>#N/A</v>
      </c>
      <c r="M311" s="261" t="e">
        <f t="shared" si="242"/>
        <v>#VALUE!</v>
      </c>
      <c r="N311" s="455"/>
      <c r="O311" s="261" t="e">
        <f>VLOOKUP($A311,[1]Planilha!$A$18:$BK$553,60,FALSE)</f>
        <v>#N/A</v>
      </c>
      <c r="P311" s="261" t="e">
        <f t="shared" si="243"/>
        <v>#N/A</v>
      </c>
      <c r="Q311" s="456" t="s">
        <v>740</v>
      </c>
      <c r="R311" s="261" t="e">
        <f>VLOOKUP($A311,[1]Planilha!$A$18:$BK$553,51,FALSE)</f>
        <v>#N/A</v>
      </c>
      <c r="S311" s="261" t="e">
        <f t="shared" si="244"/>
        <v>#VALUE!</v>
      </c>
      <c r="T311" s="455"/>
      <c r="U311" s="261" t="e">
        <f>VLOOKUP($A311,[1]Planilha!$A$18:$BK$553,59,FALSE)</f>
        <v>#N/A</v>
      </c>
      <c r="V311" s="261" t="e">
        <f t="shared" si="245"/>
        <v>#N/A</v>
      </c>
      <c r="W311" s="456" t="s">
        <v>293</v>
      </c>
      <c r="X311" s="261" t="e">
        <f>VLOOKUP($A311,[1]Planilha!$A$18:$BK$553,50,FALSE)</f>
        <v>#N/A</v>
      </c>
      <c r="Y311" s="261" t="e">
        <f t="shared" si="246"/>
        <v>#VALUE!</v>
      </c>
      <c r="Z311" s="455"/>
      <c r="AA311" s="261" t="e">
        <f>VLOOKUP($A311,[1]Planilha!$A$18:$BK$553,58,FALSE)</f>
        <v>#N/A</v>
      </c>
      <c r="AB311" s="261" t="e">
        <f t="shared" si="247"/>
        <v>#N/A</v>
      </c>
      <c r="AC311" s="456" t="s">
        <v>322</v>
      </c>
      <c r="AD311" s="261" t="e">
        <f>VLOOKUP($A311,[1]Planilha!$A$18:$BK$553,49,FALSE)</f>
        <v>#N/A</v>
      </c>
      <c r="AE311" s="261" t="e">
        <f t="shared" si="248"/>
        <v>#VALUE!</v>
      </c>
      <c r="AF311" s="459"/>
      <c r="AG311" s="261" t="e">
        <f>VLOOKUP($A311,[1]Planilha!$A$18:$BK$553,57,FALSE)</f>
        <v>#N/A</v>
      </c>
      <c r="AH311" s="261" t="e">
        <f t="shared" si="249"/>
        <v>#N/A</v>
      </c>
    </row>
    <row r="312" spans="1:34" s="124" customFormat="1" ht="12.75" customHeight="1">
      <c r="A312" s="449" t="s">
        <v>296</v>
      </c>
      <c r="B312" s="115" t="s">
        <v>13</v>
      </c>
      <c r="C312" s="119" t="s">
        <v>83</v>
      </c>
      <c r="D312" s="101"/>
      <c r="E312" s="254" t="s">
        <v>81</v>
      </c>
      <c r="F312" s="261" t="e">
        <f>VLOOKUP($A312,[1]Planilha!$A$18:$BK$553,54,FALSE)</f>
        <v>#N/A</v>
      </c>
      <c r="G312" s="261" t="e">
        <f t="shared" si="240"/>
        <v>#VALUE!</v>
      </c>
      <c r="H312" s="255" t="s">
        <v>82</v>
      </c>
      <c r="I312" s="261" t="e">
        <f>VLOOKUP($A312,[1]Planilha!$A$18:$BK$553,62,FALSE)</f>
        <v>#N/A</v>
      </c>
      <c r="J312" s="261" t="e">
        <f t="shared" si="241"/>
        <v>#VALUE!</v>
      </c>
      <c r="K312" s="254" t="s">
        <v>81</v>
      </c>
      <c r="L312" s="261" t="e">
        <f>VLOOKUP($A312,[1]Planilha!$A$18:$BK$553,52,FALSE)</f>
        <v>#N/A</v>
      </c>
      <c r="M312" s="261" t="e">
        <f t="shared" si="242"/>
        <v>#VALUE!</v>
      </c>
      <c r="N312" s="255" t="s">
        <v>82</v>
      </c>
      <c r="O312" s="261" t="e">
        <f>VLOOKUP($A312,[1]Planilha!$A$18:$BK$553,60,FALSE)</f>
        <v>#N/A</v>
      </c>
      <c r="P312" s="261" t="e">
        <f t="shared" si="243"/>
        <v>#VALUE!</v>
      </c>
      <c r="Q312" s="254" t="s">
        <v>81</v>
      </c>
      <c r="R312" s="261" t="e">
        <f>VLOOKUP($A312,[1]Planilha!$A$18:$BK$553,51,FALSE)</f>
        <v>#N/A</v>
      </c>
      <c r="S312" s="261" t="e">
        <f t="shared" si="244"/>
        <v>#VALUE!</v>
      </c>
      <c r="T312" s="255" t="s">
        <v>82</v>
      </c>
      <c r="U312" s="261" t="e">
        <f>VLOOKUP($A312,[1]Planilha!$A$18:$BK$553,59,FALSE)</f>
        <v>#N/A</v>
      </c>
      <c r="V312" s="261" t="e">
        <f t="shared" si="245"/>
        <v>#VALUE!</v>
      </c>
      <c r="W312" s="254" t="s">
        <v>81</v>
      </c>
      <c r="X312" s="261" t="e">
        <f>VLOOKUP($A312,[1]Planilha!$A$18:$BK$553,50,FALSE)</f>
        <v>#N/A</v>
      </c>
      <c r="Y312" s="261" t="e">
        <f t="shared" si="246"/>
        <v>#VALUE!</v>
      </c>
      <c r="Z312" s="255" t="s">
        <v>82</v>
      </c>
      <c r="AA312" s="261" t="e">
        <f>VLOOKUP($A312,[1]Planilha!$A$18:$BK$553,58,FALSE)</f>
        <v>#N/A</v>
      </c>
      <c r="AB312" s="261" t="e">
        <f t="shared" si="247"/>
        <v>#VALUE!</v>
      </c>
      <c r="AC312" s="254" t="s">
        <v>81</v>
      </c>
      <c r="AD312" s="261" t="e">
        <f>VLOOKUP($A312,[1]Planilha!$A$18:$BK$553,49,FALSE)</f>
        <v>#N/A</v>
      </c>
      <c r="AE312" s="261" t="e">
        <f t="shared" si="248"/>
        <v>#VALUE!</v>
      </c>
      <c r="AF312" s="256" t="s">
        <v>82</v>
      </c>
      <c r="AG312" s="261" t="e">
        <f>VLOOKUP($A312,[1]Planilha!$A$18:$BK$553,57,FALSE)</f>
        <v>#N/A</v>
      </c>
      <c r="AH312" s="261" t="e">
        <f t="shared" si="249"/>
        <v>#VALUE!</v>
      </c>
    </row>
    <row r="313" spans="1:34" s="124" customFormat="1" ht="13.5" customHeight="1" thickBot="1">
      <c r="A313" s="450"/>
      <c r="B313" s="155" t="s">
        <v>14</v>
      </c>
      <c r="C313" s="156" t="s">
        <v>379</v>
      </c>
      <c r="D313" s="157" t="s">
        <v>84</v>
      </c>
      <c r="E313" s="257" t="s">
        <v>85</v>
      </c>
      <c r="F313" s="261" t="e">
        <f>VLOOKUP($A313,[1]Planilha!$A$18:$BK$553,54,FALSE)</f>
        <v>#N/A</v>
      </c>
      <c r="G313" s="261" t="e">
        <f t="shared" si="240"/>
        <v>#VALUE!</v>
      </c>
      <c r="H313" s="258" t="s">
        <v>297</v>
      </c>
      <c r="I313" s="261" t="e">
        <f>VLOOKUP($A313,[1]Planilha!$A$18:$BK$553,62,FALSE)</f>
        <v>#N/A</v>
      </c>
      <c r="J313" s="261" t="e">
        <f t="shared" si="241"/>
        <v>#VALUE!</v>
      </c>
      <c r="K313" s="257" t="s">
        <v>85</v>
      </c>
      <c r="L313" s="261" t="e">
        <f>VLOOKUP($A313,[1]Planilha!$A$18:$BK$553,52,FALSE)</f>
        <v>#N/A</v>
      </c>
      <c r="M313" s="261" t="e">
        <f t="shared" si="242"/>
        <v>#VALUE!</v>
      </c>
      <c r="N313" s="258" t="s">
        <v>297</v>
      </c>
      <c r="O313" s="261" t="e">
        <f>VLOOKUP($A313,[1]Planilha!$A$18:$BK$553,60,FALSE)</f>
        <v>#N/A</v>
      </c>
      <c r="P313" s="261" t="e">
        <f t="shared" si="243"/>
        <v>#VALUE!</v>
      </c>
      <c r="Q313" s="257" t="s">
        <v>85</v>
      </c>
      <c r="R313" s="261" t="e">
        <f>VLOOKUP($A313,[1]Planilha!$A$18:$BK$553,51,FALSE)</f>
        <v>#N/A</v>
      </c>
      <c r="S313" s="261" t="e">
        <f t="shared" si="244"/>
        <v>#VALUE!</v>
      </c>
      <c r="T313" s="258" t="s">
        <v>297</v>
      </c>
      <c r="U313" s="261" t="e">
        <f>VLOOKUP($A313,[1]Planilha!$A$18:$BK$553,59,FALSE)</f>
        <v>#N/A</v>
      </c>
      <c r="V313" s="261" t="e">
        <f t="shared" si="245"/>
        <v>#VALUE!</v>
      </c>
      <c r="W313" s="257" t="s">
        <v>85</v>
      </c>
      <c r="X313" s="261" t="e">
        <f>VLOOKUP($A313,[1]Planilha!$A$18:$BK$553,50,FALSE)</f>
        <v>#N/A</v>
      </c>
      <c r="Y313" s="261" t="e">
        <f t="shared" si="246"/>
        <v>#VALUE!</v>
      </c>
      <c r="Z313" s="258" t="s">
        <v>297</v>
      </c>
      <c r="AA313" s="261" t="e">
        <f>VLOOKUP($A313,[1]Planilha!$A$18:$BK$553,58,FALSE)</f>
        <v>#N/A</v>
      </c>
      <c r="AB313" s="261" t="e">
        <f t="shared" si="247"/>
        <v>#VALUE!</v>
      </c>
      <c r="AC313" s="257" t="s">
        <v>85</v>
      </c>
      <c r="AD313" s="261" t="e">
        <f>VLOOKUP($A313,[1]Planilha!$A$18:$BK$553,49,FALSE)</f>
        <v>#N/A</v>
      </c>
      <c r="AE313" s="261" t="e">
        <f t="shared" si="248"/>
        <v>#VALUE!</v>
      </c>
      <c r="AF313" s="259" t="s">
        <v>297</v>
      </c>
      <c r="AG313" s="261" t="e">
        <f>VLOOKUP($A313,[1]Planilha!$A$18:$BK$553,57,FALSE)</f>
        <v>#N/A</v>
      </c>
      <c r="AH313" s="261" t="e">
        <f t="shared" si="249"/>
        <v>#VALUE!</v>
      </c>
    </row>
    <row r="314" spans="1:34" s="124" customFormat="1" ht="15">
      <c r="A314" s="414"/>
      <c r="B314" s="207" t="s">
        <v>565</v>
      </c>
      <c r="C314" s="208"/>
      <c r="D314" s="209"/>
      <c r="E314" s="188"/>
      <c r="F314" s="261" t="e">
        <f>VLOOKUP($A314,[1]Planilha!$A$18:$BK$553,54,FALSE)</f>
        <v>#N/A</v>
      </c>
      <c r="G314" s="261" t="e">
        <f t="shared" si="240"/>
        <v>#N/A</v>
      </c>
      <c r="H314" s="189"/>
      <c r="I314" s="261" t="e">
        <f>VLOOKUP($A314,[1]Planilha!$A$18:$BK$553,62,FALSE)</f>
        <v>#N/A</v>
      </c>
      <c r="J314" s="261" t="e">
        <f t="shared" si="241"/>
        <v>#N/A</v>
      </c>
      <c r="K314" s="188"/>
      <c r="L314" s="261" t="e">
        <f>VLOOKUP($A314,[1]Planilha!$A$18:$BK$553,52,FALSE)</f>
        <v>#N/A</v>
      </c>
      <c r="M314" s="261" t="e">
        <f t="shared" si="242"/>
        <v>#N/A</v>
      </c>
      <c r="N314" s="189"/>
      <c r="O314" s="261" t="e">
        <f>VLOOKUP($A314,[1]Planilha!$A$18:$BK$553,60,FALSE)</f>
        <v>#N/A</v>
      </c>
      <c r="P314" s="261" t="e">
        <f t="shared" si="243"/>
        <v>#N/A</v>
      </c>
      <c r="Q314" s="188"/>
      <c r="R314" s="261" t="e">
        <f>VLOOKUP($A314,[1]Planilha!$A$18:$BK$553,51,FALSE)</f>
        <v>#N/A</v>
      </c>
      <c r="S314" s="261" t="e">
        <f t="shared" si="244"/>
        <v>#N/A</v>
      </c>
      <c r="T314" s="189"/>
      <c r="U314" s="261" t="e">
        <f>VLOOKUP($A314,[1]Planilha!$A$18:$BK$553,59,FALSE)</f>
        <v>#N/A</v>
      </c>
      <c r="V314" s="261" t="e">
        <f t="shared" si="245"/>
        <v>#N/A</v>
      </c>
      <c r="W314" s="188"/>
      <c r="X314" s="261" t="e">
        <f>VLOOKUP($A314,[1]Planilha!$A$18:$BK$553,50,FALSE)</f>
        <v>#N/A</v>
      </c>
      <c r="Y314" s="261" t="e">
        <f t="shared" si="246"/>
        <v>#N/A</v>
      </c>
      <c r="Z314" s="189"/>
      <c r="AA314" s="261" t="e">
        <f>VLOOKUP($A314,[1]Planilha!$A$18:$BK$553,58,FALSE)</f>
        <v>#N/A</v>
      </c>
      <c r="AB314" s="261" t="e">
        <f t="shared" si="247"/>
        <v>#N/A</v>
      </c>
      <c r="AC314" s="188"/>
      <c r="AD314" s="261" t="e">
        <f>VLOOKUP($A314,[1]Planilha!$A$18:$BK$553,49,FALSE)</f>
        <v>#N/A</v>
      </c>
      <c r="AE314" s="261" t="e">
        <f t="shared" si="248"/>
        <v>#N/A</v>
      </c>
      <c r="AF314" s="191"/>
      <c r="AG314" s="261" t="e">
        <f>VLOOKUP($A314,[1]Planilha!$A$18:$BK$553,57,FALSE)</f>
        <v>#N/A</v>
      </c>
      <c r="AH314" s="261" t="e">
        <f t="shared" si="249"/>
        <v>#N/A</v>
      </c>
    </row>
    <row r="315" spans="1:34" s="124" customFormat="1">
      <c r="A315" s="232">
        <v>7891721100024</v>
      </c>
      <c r="B315" s="205" t="s">
        <v>53</v>
      </c>
      <c r="C315" s="121" t="s">
        <v>492</v>
      </c>
      <c r="D315" s="206" t="s">
        <v>284</v>
      </c>
      <c r="E315" s="267">
        <f>ROUND(K315*1.028952,2)</f>
        <v>16.11</v>
      </c>
      <c r="F315" s="261">
        <f>VLOOKUP($A315,[1]Planilha!$A$18:$BK$553,54,FALSE)</f>
        <v>15.88</v>
      </c>
      <c r="G315" s="261">
        <f t="shared" si="240"/>
        <v>0.22999999999999865</v>
      </c>
      <c r="H315" s="267">
        <f>ROUND(E315/0.751296,2)</f>
        <v>21.44</v>
      </c>
      <c r="I315" s="261">
        <f>VLOOKUP($A315,[1]Planilha!$A$18:$BK$553,62,FALSE)</f>
        <v>21.44</v>
      </c>
      <c r="J315" s="261">
        <f t="shared" si="241"/>
        <v>0</v>
      </c>
      <c r="K315" s="267">
        <f>VLOOKUP(A315,[2]Plan1!$H$2:$J$279,3,FALSE)</f>
        <v>15.654630710094672</v>
      </c>
      <c r="L315" s="261">
        <f>VLOOKUP($A315,[1]Planilha!$A$18:$BK$553,52,FALSE)</f>
        <v>15.65</v>
      </c>
      <c r="M315" s="261">
        <f t="shared" si="242"/>
        <v>4.6307100946716417E-3</v>
      </c>
      <c r="N315" s="267">
        <f>ROUND(K315/0.750577,2)</f>
        <v>20.86</v>
      </c>
      <c r="O315" s="261">
        <f>VLOOKUP($A315,[1]Planilha!$A$18:$BK$553,60,FALSE)</f>
        <v>20.86</v>
      </c>
      <c r="P315" s="261">
        <f t="shared" si="243"/>
        <v>0</v>
      </c>
      <c r="Q315" s="484">
        <v>15.54</v>
      </c>
      <c r="R315" s="261">
        <f>VLOOKUP($A315,[1]Planilha!$A$18:$BK$553,51,FALSE)</f>
        <v>15.54</v>
      </c>
      <c r="S315" s="261">
        <f t="shared" si="244"/>
        <v>0</v>
      </c>
      <c r="T315" s="267">
        <f>ROUND(Q315/0.750402,2)</f>
        <v>20.71</v>
      </c>
      <c r="U315" s="261">
        <f>VLOOKUP($A315,[1]Planilha!$A$18:$BK$553,59,FALSE)</f>
        <v>20.71</v>
      </c>
      <c r="V315" s="261">
        <f t="shared" si="245"/>
        <v>0</v>
      </c>
      <c r="W315" s="267">
        <f>ROUND(K315*0.986128,2)</f>
        <v>15.44</v>
      </c>
      <c r="X315" s="261">
        <f>VLOOKUP($A315,[1]Planilha!$A$18:$BK$553,50,FALSE)</f>
        <v>15.44</v>
      </c>
      <c r="Y315" s="261">
        <f t="shared" si="246"/>
        <v>0</v>
      </c>
      <c r="Z315" s="267">
        <f>ROUND(W315/0.75023,2)</f>
        <v>20.58</v>
      </c>
      <c r="AA315" s="261">
        <f>VLOOKUP($A315,[1]Planilha!$A$18:$BK$553,58,FALSE)</f>
        <v>20.58</v>
      </c>
      <c r="AB315" s="261">
        <f t="shared" si="247"/>
        <v>0</v>
      </c>
      <c r="AC315" s="267">
        <f>ROUND(K315*0.922175,2)</f>
        <v>14.44</v>
      </c>
      <c r="AD315" s="261">
        <f>VLOOKUP($A315,[1]Planilha!$A$18:$BK$553,49,FALSE)</f>
        <v>14.44</v>
      </c>
      <c r="AE315" s="261">
        <f t="shared" si="248"/>
        <v>0</v>
      </c>
      <c r="AF315" s="268">
        <f>ROUND(AC315/0.748624,2)</f>
        <v>19.29</v>
      </c>
      <c r="AG315" s="261">
        <f>VLOOKUP($A315,[1]Planilha!$A$18:$BK$553,57,FALSE)</f>
        <v>19.29</v>
      </c>
      <c r="AH315" s="261">
        <f t="shared" si="249"/>
        <v>0</v>
      </c>
    </row>
    <row r="316" spans="1:34" s="124" customFormat="1">
      <c r="A316" s="232">
        <v>7891721100031</v>
      </c>
      <c r="B316" s="310" t="s">
        <v>55</v>
      </c>
      <c r="C316" s="122" t="s">
        <v>493</v>
      </c>
      <c r="D316" s="311" t="s">
        <v>285</v>
      </c>
      <c r="E316" s="269">
        <f>ROUND(K316*1.028952,2)</f>
        <v>13.58</v>
      </c>
      <c r="F316" s="261">
        <f>VLOOKUP($A316,[1]Planilha!$A$18:$BK$553,54,FALSE)</f>
        <v>13.38</v>
      </c>
      <c r="G316" s="261">
        <f t="shared" si="240"/>
        <v>0.19999999999999929</v>
      </c>
      <c r="H316" s="269">
        <f>ROUND(E316/0.751296,2)</f>
        <v>18.079999999999998</v>
      </c>
      <c r="I316" s="261">
        <f>VLOOKUP($A316,[1]Planilha!$A$18:$BK$553,62,FALSE)</f>
        <v>18.079999999999998</v>
      </c>
      <c r="J316" s="261">
        <f t="shared" si="241"/>
        <v>0</v>
      </c>
      <c r="K316" s="267">
        <f>VLOOKUP(A316,[2]Plan1!$H$2:$J$279,3,FALSE)</f>
        <v>13.196914894366861</v>
      </c>
      <c r="L316" s="261">
        <f>VLOOKUP($A316,[1]Planilha!$A$18:$BK$553,52,FALSE)</f>
        <v>13.2</v>
      </c>
      <c r="M316" s="261">
        <f t="shared" si="242"/>
        <v>-3.0851056331382409E-3</v>
      </c>
      <c r="N316" s="269">
        <f>ROUND(K316/0.750577,2)</f>
        <v>17.579999999999998</v>
      </c>
      <c r="O316" s="261">
        <f>VLOOKUP($A316,[1]Planilha!$A$18:$BK$553,60,FALSE)</f>
        <v>17.579999999999998</v>
      </c>
      <c r="P316" s="261">
        <f t="shared" si="243"/>
        <v>0</v>
      </c>
      <c r="Q316" s="269">
        <f t="shared" ref="Q316:Q340" si="270">ROUND(K316*0.993015,2)</f>
        <v>13.1</v>
      </c>
      <c r="R316" s="261">
        <f>VLOOKUP($A316,[1]Planilha!$A$18:$BK$553,51,FALSE)</f>
        <v>13.1</v>
      </c>
      <c r="S316" s="261">
        <f t="shared" si="244"/>
        <v>0</v>
      </c>
      <c r="T316" s="269">
        <f t="shared" ref="T316:T340" si="271">ROUND(Q316/0.750402,2)</f>
        <v>17.46</v>
      </c>
      <c r="U316" s="261">
        <f>VLOOKUP($A316,[1]Planilha!$A$18:$BK$553,59,FALSE)</f>
        <v>17.46</v>
      </c>
      <c r="V316" s="261">
        <f t="shared" si="245"/>
        <v>0</v>
      </c>
      <c r="W316" s="269">
        <f>ROUND(K316*0.986128,2)</f>
        <v>13.01</v>
      </c>
      <c r="X316" s="261">
        <f>VLOOKUP($A316,[1]Planilha!$A$18:$BK$553,50,FALSE)</f>
        <v>13.01</v>
      </c>
      <c r="Y316" s="261">
        <f t="shared" si="246"/>
        <v>0</v>
      </c>
      <c r="Z316" s="269">
        <f>ROUND(W316/0.75023,2)</f>
        <v>17.34</v>
      </c>
      <c r="AA316" s="261">
        <f>VLOOKUP($A316,[1]Planilha!$A$18:$BK$553,58,FALSE)</f>
        <v>17.34</v>
      </c>
      <c r="AB316" s="261">
        <f t="shared" si="247"/>
        <v>0</v>
      </c>
      <c r="AC316" s="269">
        <f>ROUND(K316*0.922175,2)</f>
        <v>12.17</v>
      </c>
      <c r="AD316" s="261">
        <f>VLOOKUP($A316,[1]Planilha!$A$18:$BK$553,49,FALSE)</f>
        <v>12.17</v>
      </c>
      <c r="AE316" s="261">
        <f t="shared" si="248"/>
        <v>0</v>
      </c>
      <c r="AF316" s="270">
        <f>ROUND(AC316/0.748624,2)</f>
        <v>16.260000000000002</v>
      </c>
      <c r="AG316" s="261">
        <f>VLOOKUP($A316,[1]Planilha!$A$18:$BK$553,57,FALSE)</f>
        <v>16.260000000000002</v>
      </c>
      <c r="AH316" s="261">
        <f t="shared" si="249"/>
        <v>0</v>
      </c>
    </row>
    <row r="317" spans="1:34" s="124" customFormat="1" ht="15">
      <c r="A317" s="414"/>
      <c r="B317" s="207" t="s">
        <v>566</v>
      </c>
      <c r="C317" s="208"/>
      <c r="D317" s="209"/>
      <c r="E317" s="188"/>
      <c r="F317" s="261" t="e">
        <f>VLOOKUP($A317,[1]Planilha!$A$18:$BK$553,54,FALSE)</f>
        <v>#N/A</v>
      </c>
      <c r="G317" s="261" t="e">
        <f t="shared" si="240"/>
        <v>#N/A</v>
      </c>
      <c r="H317" s="189"/>
      <c r="I317" s="261" t="e">
        <f>VLOOKUP($A317,[1]Planilha!$A$18:$BK$553,62,FALSE)</f>
        <v>#N/A</v>
      </c>
      <c r="J317" s="261" t="e">
        <f t="shared" si="241"/>
        <v>#N/A</v>
      </c>
      <c r="K317" s="267"/>
      <c r="L317" s="261" t="e">
        <f>VLOOKUP($A317,[1]Planilha!$A$18:$BK$553,52,FALSE)</f>
        <v>#N/A</v>
      </c>
      <c r="M317" s="261" t="e">
        <f t="shared" si="242"/>
        <v>#N/A</v>
      </c>
      <c r="N317" s="189"/>
      <c r="O317" s="261" t="e">
        <f>VLOOKUP($A317,[1]Planilha!$A$18:$BK$553,60,FALSE)</f>
        <v>#N/A</v>
      </c>
      <c r="P317" s="261" t="e">
        <f t="shared" si="243"/>
        <v>#N/A</v>
      </c>
      <c r="Q317" s="188"/>
      <c r="R317" s="261" t="e">
        <f>VLOOKUP($A317,[1]Planilha!$A$18:$BK$553,51,FALSE)</f>
        <v>#N/A</v>
      </c>
      <c r="S317" s="261" t="e">
        <f t="shared" si="244"/>
        <v>#N/A</v>
      </c>
      <c r="T317" s="189"/>
      <c r="U317" s="261" t="e">
        <f>VLOOKUP($A317,[1]Planilha!$A$18:$BK$553,59,FALSE)</f>
        <v>#N/A</v>
      </c>
      <c r="V317" s="261" t="e">
        <f t="shared" si="245"/>
        <v>#N/A</v>
      </c>
      <c r="W317" s="188"/>
      <c r="X317" s="261" t="e">
        <f>VLOOKUP($A317,[1]Planilha!$A$18:$BK$553,50,FALSE)</f>
        <v>#N/A</v>
      </c>
      <c r="Y317" s="261" t="e">
        <f t="shared" si="246"/>
        <v>#N/A</v>
      </c>
      <c r="Z317" s="189"/>
      <c r="AA317" s="261" t="e">
        <f>VLOOKUP($A317,[1]Planilha!$A$18:$BK$553,58,FALSE)</f>
        <v>#N/A</v>
      </c>
      <c r="AB317" s="261" t="e">
        <f t="shared" si="247"/>
        <v>#N/A</v>
      </c>
      <c r="AC317" s="188"/>
      <c r="AD317" s="261" t="e">
        <f>VLOOKUP($A317,[1]Planilha!$A$18:$BK$553,49,FALSE)</f>
        <v>#N/A</v>
      </c>
      <c r="AE317" s="261" t="e">
        <f t="shared" si="248"/>
        <v>#N/A</v>
      </c>
      <c r="AF317" s="191"/>
      <c r="AG317" s="261" t="e">
        <f>VLOOKUP($A317,[1]Planilha!$A$18:$BK$553,57,FALSE)</f>
        <v>#N/A</v>
      </c>
      <c r="AH317" s="261" t="e">
        <f t="shared" si="249"/>
        <v>#N/A</v>
      </c>
    </row>
    <row r="318" spans="1:34" s="124" customFormat="1">
      <c r="A318" s="232">
        <v>7891721022128</v>
      </c>
      <c r="B318" s="205">
        <v>1008900710511</v>
      </c>
      <c r="C318" s="121" t="s">
        <v>466</v>
      </c>
      <c r="D318" s="206" t="s">
        <v>585</v>
      </c>
      <c r="E318" s="267">
        <f>ROUND(K318*1.028952,2)</f>
        <v>22.76</v>
      </c>
      <c r="F318" s="261">
        <f>VLOOKUP($A318,[1]Planilha!$A$18:$BK$553,54,FALSE)</f>
        <v>22.44</v>
      </c>
      <c r="G318" s="261">
        <f t="shared" si="240"/>
        <v>0.32000000000000028</v>
      </c>
      <c r="H318" s="267">
        <f t="shared" ref="H318:H323" si="272">ROUND(E318/0.751296,2)</f>
        <v>30.29</v>
      </c>
      <c r="I318" s="261">
        <f>VLOOKUP($A318,[1]Planilha!$A$18:$BK$553,62,FALSE)</f>
        <v>30.29</v>
      </c>
      <c r="J318" s="261">
        <f t="shared" si="241"/>
        <v>0</v>
      </c>
      <c r="K318" s="267">
        <f>VLOOKUP(A318,[2]Plan1!$H$2:$J$279,3,FALSE)</f>
        <v>22.12</v>
      </c>
      <c r="L318" s="261">
        <f>VLOOKUP($A318,[1]Planilha!$A$18:$BK$553,52,FALSE)</f>
        <v>22.12</v>
      </c>
      <c r="M318" s="261">
        <f t="shared" si="242"/>
        <v>0</v>
      </c>
      <c r="N318" s="267">
        <f t="shared" ref="N318:N323" si="273">ROUND(K318/0.750577,2)</f>
        <v>29.47</v>
      </c>
      <c r="O318" s="261">
        <f>VLOOKUP($A318,[1]Planilha!$A$18:$BK$553,60,FALSE)</f>
        <v>29.47</v>
      </c>
      <c r="P318" s="261">
        <f t="shared" si="243"/>
        <v>0</v>
      </c>
      <c r="Q318" s="267">
        <f t="shared" si="270"/>
        <v>21.97</v>
      </c>
      <c r="R318" s="261">
        <f>VLOOKUP($A318,[1]Planilha!$A$18:$BK$553,51,FALSE)</f>
        <v>21.97</v>
      </c>
      <c r="S318" s="261">
        <f t="shared" si="244"/>
        <v>0</v>
      </c>
      <c r="T318" s="267">
        <f t="shared" si="271"/>
        <v>29.28</v>
      </c>
      <c r="U318" s="261">
        <f>VLOOKUP($A318,[1]Planilha!$A$18:$BK$553,59,FALSE)</f>
        <v>29.28</v>
      </c>
      <c r="V318" s="261">
        <f t="shared" si="245"/>
        <v>0</v>
      </c>
      <c r="W318" s="267">
        <f t="shared" ref="W318:W323" si="274">ROUND(K318*0.986128,2)</f>
        <v>21.81</v>
      </c>
      <c r="X318" s="261">
        <f>VLOOKUP($A318,[1]Planilha!$A$18:$BK$553,50,FALSE)</f>
        <v>21.81</v>
      </c>
      <c r="Y318" s="261">
        <f t="shared" si="246"/>
        <v>0</v>
      </c>
      <c r="Z318" s="267">
        <f t="shared" ref="Z318:Z323" si="275">ROUND(W318/0.75023,2)</f>
        <v>29.07</v>
      </c>
      <c r="AA318" s="261">
        <f>VLOOKUP($A318,[1]Planilha!$A$18:$BK$553,58,FALSE)</f>
        <v>29.07</v>
      </c>
      <c r="AB318" s="261">
        <f t="shared" si="247"/>
        <v>0</v>
      </c>
      <c r="AC318" s="267">
        <f t="shared" ref="AC318:AC323" si="276">ROUND(K318*0.922175,2)</f>
        <v>20.399999999999999</v>
      </c>
      <c r="AD318" s="261">
        <f>VLOOKUP($A318,[1]Planilha!$A$18:$BK$553,49,FALSE)</f>
        <v>20.399999999999999</v>
      </c>
      <c r="AE318" s="261">
        <f t="shared" si="248"/>
        <v>0</v>
      </c>
      <c r="AF318" s="268">
        <f t="shared" ref="AF318:AF323" si="277">ROUND(AC318/0.748624,2)</f>
        <v>27.25</v>
      </c>
      <c r="AG318" s="261">
        <f>VLOOKUP($A318,[1]Planilha!$A$18:$BK$553,57,FALSE)</f>
        <v>27.25</v>
      </c>
      <c r="AH318" s="261">
        <f t="shared" si="249"/>
        <v>0</v>
      </c>
    </row>
    <row r="319" spans="1:34" s="124" customFormat="1">
      <c r="A319" s="232">
        <v>7891721100017</v>
      </c>
      <c r="B319" s="126" t="s">
        <v>51</v>
      </c>
      <c r="C319" s="121" t="s">
        <v>490</v>
      </c>
      <c r="D319" s="92" t="s">
        <v>586</v>
      </c>
      <c r="E319" s="267">
        <f t="shared" ref="E319:E323" si="278">ROUND(K319*1.028952,2)</f>
        <v>12.73</v>
      </c>
      <c r="F319" s="261">
        <f>VLOOKUP($A319,[1]Planilha!$A$18:$BK$553,54,FALSE)</f>
        <v>12.55</v>
      </c>
      <c r="G319" s="261">
        <f t="shared" si="240"/>
        <v>0.17999999999999972</v>
      </c>
      <c r="H319" s="267">
        <f t="shared" si="272"/>
        <v>16.940000000000001</v>
      </c>
      <c r="I319" s="261">
        <f>VLOOKUP($A319,[1]Planilha!$A$18:$BK$553,62,FALSE)</f>
        <v>16.940000000000001</v>
      </c>
      <c r="J319" s="261">
        <f t="shared" si="241"/>
        <v>0</v>
      </c>
      <c r="K319" s="267">
        <f>VLOOKUP(A319,[2]Plan1!$H$2:$J$279,3,FALSE)</f>
        <v>12.37</v>
      </c>
      <c r="L319" s="261">
        <f>VLOOKUP($A319,[1]Planilha!$A$18:$BK$553,52,FALSE)</f>
        <v>12.37</v>
      </c>
      <c r="M319" s="261">
        <f t="shared" si="242"/>
        <v>0</v>
      </c>
      <c r="N319" s="267">
        <f t="shared" si="273"/>
        <v>16.48</v>
      </c>
      <c r="O319" s="261">
        <f>VLOOKUP($A319,[1]Planilha!$A$18:$BK$553,60,FALSE)</f>
        <v>16.48</v>
      </c>
      <c r="P319" s="261">
        <f t="shared" si="243"/>
        <v>0</v>
      </c>
      <c r="Q319" s="267">
        <f t="shared" si="270"/>
        <v>12.28</v>
      </c>
      <c r="R319" s="261">
        <f>VLOOKUP($A319,[1]Planilha!$A$18:$BK$553,51,FALSE)</f>
        <v>12.28</v>
      </c>
      <c r="S319" s="261">
        <f t="shared" si="244"/>
        <v>0</v>
      </c>
      <c r="T319" s="267">
        <f t="shared" si="271"/>
        <v>16.36</v>
      </c>
      <c r="U319" s="261">
        <f>VLOOKUP($A319,[1]Planilha!$A$18:$BK$553,59,FALSE)</f>
        <v>16.36</v>
      </c>
      <c r="V319" s="261">
        <f t="shared" si="245"/>
        <v>0</v>
      </c>
      <c r="W319" s="267">
        <f t="shared" si="274"/>
        <v>12.2</v>
      </c>
      <c r="X319" s="261">
        <f>VLOOKUP($A319,[1]Planilha!$A$18:$BK$553,50,FALSE)</f>
        <v>12.2</v>
      </c>
      <c r="Y319" s="261">
        <f t="shared" si="246"/>
        <v>0</v>
      </c>
      <c r="Z319" s="267">
        <f t="shared" si="275"/>
        <v>16.260000000000002</v>
      </c>
      <c r="AA319" s="261">
        <f>VLOOKUP($A319,[1]Planilha!$A$18:$BK$553,58,FALSE)</f>
        <v>16.260000000000002</v>
      </c>
      <c r="AB319" s="261">
        <f t="shared" si="247"/>
        <v>0</v>
      </c>
      <c r="AC319" s="267">
        <f t="shared" si="276"/>
        <v>11.41</v>
      </c>
      <c r="AD319" s="261">
        <f>VLOOKUP($A319,[1]Planilha!$A$18:$BK$553,49,FALSE)</f>
        <v>11.41</v>
      </c>
      <c r="AE319" s="261">
        <f t="shared" si="248"/>
        <v>0</v>
      </c>
      <c r="AF319" s="268">
        <f t="shared" si="277"/>
        <v>15.24</v>
      </c>
      <c r="AG319" s="261">
        <f>VLOOKUP($A319,[1]Planilha!$A$18:$BK$553,57,FALSE)</f>
        <v>15.24</v>
      </c>
      <c r="AH319" s="261">
        <f t="shared" si="249"/>
        <v>0</v>
      </c>
    </row>
    <row r="320" spans="1:34" s="124" customFormat="1">
      <c r="A320" s="232">
        <v>7891721104831</v>
      </c>
      <c r="B320" s="126" t="s">
        <v>54</v>
      </c>
      <c r="C320" s="121" t="s">
        <v>491</v>
      </c>
      <c r="D320" s="92" t="s">
        <v>299</v>
      </c>
      <c r="E320" s="267">
        <f t="shared" si="278"/>
        <v>13.28</v>
      </c>
      <c r="F320" s="261">
        <f>VLOOKUP($A320,[1]Planilha!$A$18:$BK$553,54,FALSE)</f>
        <v>13.09</v>
      </c>
      <c r="G320" s="261">
        <f t="shared" si="240"/>
        <v>0.1899999999999995</v>
      </c>
      <c r="H320" s="267">
        <f t="shared" si="272"/>
        <v>17.68</v>
      </c>
      <c r="I320" s="261">
        <f>VLOOKUP($A320,[1]Planilha!$A$18:$BK$553,62,FALSE)</f>
        <v>17.68</v>
      </c>
      <c r="J320" s="261">
        <f t="shared" si="241"/>
        <v>0</v>
      </c>
      <c r="K320" s="267">
        <f>VLOOKUP(A320,[2]Plan1!$H$2:$J$279,3,FALSE)</f>
        <v>12.91</v>
      </c>
      <c r="L320" s="261">
        <f>VLOOKUP($A320,[1]Planilha!$A$18:$BK$553,52,FALSE)</f>
        <v>12.91</v>
      </c>
      <c r="M320" s="261">
        <f t="shared" si="242"/>
        <v>0</v>
      </c>
      <c r="N320" s="267">
        <f t="shared" si="273"/>
        <v>17.2</v>
      </c>
      <c r="O320" s="261">
        <f>VLOOKUP($A320,[1]Planilha!$A$18:$BK$553,60,FALSE)</f>
        <v>17.2</v>
      </c>
      <c r="P320" s="261">
        <f t="shared" si="243"/>
        <v>0</v>
      </c>
      <c r="Q320" s="267">
        <f t="shared" si="270"/>
        <v>12.82</v>
      </c>
      <c r="R320" s="261">
        <f>VLOOKUP($A320,[1]Planilha!$A$18:$BK$553,51,FALSE)</f>
        <v>12.82</v>
      </c>
      <c r="S320" s="261">
        <f t="shared" si="244"/>
        <v>0</v>
      </c>
      <c r="T320" s="267">
        <f t="shared" si="271"/>
        <v>17.079999999999998</v>
      </c>
      <c r="U320" s="261">
        <f>VLOOKUP($A320,[1]Planilha!$A$18:$BK$553,59,FALSE)</f>
        <v>17.079999999999998</v>
      </c>
      <c r="V320" s="261">
        <f t="shared" si="245"/>
        <v>0</v>
      </c>
      <c r="W320" s="267">
        <f t="shared" si="274"/>
        <v>12.73</v>
      </c>
      <c r="X320" s="261">
        <f>VLOOKUP($A320,[1]Planilha!$A$18:$BK$553,50,FALSE)</f>
        <v>12.73</v>
      </c>
      <c r="Y320" s="261">
        <f t="shared" si="246"/>
        <v>0</v>
      </c>
      <c r="Z320" s="267">
        <f t="shared" si="275"/>
        <v>16.97</v>
      </c>
      <c r="AA320" s="261">
        <f>VLOOKUP($A320,[1]Planilha!$A$18:$BK$553,58,FALSE)</f>
        <v>16.97</v>
      </c>
      <c r="AB320" s="261">
        <f t="shared" si="247"/>
        <v>0</v>
      </c>
      <c r="AC320" s="267">
        <f t="shared" si="276"/>
        <v>11.91</v>
      </c>
      <c r="AD320" s="261">
        <f>VLOOKUP($A320,[1]Planilha!$A$18:$BK$553,49,FALSE)</f>
        <v>11.91</v>
      </c>
      <c r="AE320" s="261">
        <f t="shared" si="248"/>
        <v>0</v>
      </c>
      <c r="AF320" s="268">
        <f t="shared" si="277"/>
        <v>15.91</v>
      </c>
      <c r="AG320" s="261">
        <f>VLOOKUP($A320,[1]Planilha!$A$18:$BK$553,57,FALSE)</f>
        <v>15.91</v>
      </c>
      <c r="AH320" s="261">
        <f t="shared" si="249"/>
        <v>0</v>
      </c>
    </row>
    <row r="321" spans="1:34" s="124" customFormat="1">
      <c r="A321" s="232">
        <v>7891721024337</v>
      </c>
      <c r="B321" s="126" t="s">
        <v>50</v>
      </c>
      <c r="C321" s="121" t="s">
        <v>602</v>
      </c>
      <c r="D321" s="92" t="s">
        <v>291</v>
      </c>
      <c r="E321" s="267">
        <f t="shared" si="278"/>
        <v>30.75</v>
      </c>
      <c r="F321" s="261">
        <f>VLOOKUP($A321,[1]Planilha!$A$18:$BK$553,54,FALSE)</f>
        <v>30.31</v>
      </c>
      <c r="G321" s="261">
        <f t="shared" si="240"/>
        <v>0.44000000000000128</v>
      </c>
      <c r="H321" s="267">
        <f t="shared" si="272"/>
        <v>40.93</v>
      </c>
      <c r="I321" s="261">
        <f>VLOOKUP($A321,[1]Planilha!$A$18:$BK$553,62,FALSE)</f>
        <v>40.93</v>
      </c>
      <c r="J321" s="261">
        <f t="shared" si="241"/>
        <v>0</v>
      </c>
      <c r="K321" s="267">
        <f>VLOOKUP(A321,[2]Plan1!$H$2:$J$279,3,FALSE)</f>
        <v>29.88</v>
      </c>
      <c r="L321" s="261">
        <f>VLOOKUP($A321,[1]Planilha!$A$18:$BK$553,52,FALSE)</f>
        <v>29.88</v>
      </c>
      <c r="M321" s="261">
        <f t="shared" si="242"/>
        <v>0</v>
      </c>
      <c r="N321" s="267">
        <f t="shared" si="273"/>
        <v>39.81</v>
      </c>
      <c r="O321" s="261">
        <f>VLOOKUP($A321,[1]Planilha!$A$18:$BK$553,60,FALSE)</f>
        <v>39.81</v>
      </c>
      <c r="P321" s="261">
        <f t="shared" si="243"/>
        <v>0</v>
      </c>
      <c r="Q321" s="267">
        <f t="shared" si="270"/>
        <v>29.67</v>
      </c>
      <c r="R321" s="261">
        <f>VLOOKUP($A321,[1]Planilha!$A$18:$BK$553,51,FALSE)</f>
        <v>29.67</v>
      </c>
      <c r="S321" s="261">
        <f t="shared" si="244"/>
        <v>0</v>
      </c>
      <c r="T321" s="267">
        <f t="shared" si="271"/>
        <v>39.54</v>
      </c>
      <c r="U321" s="261">
        <f>VLOOKUP($A321,[1]Planilha!$A$18:$BK$553,59,FALSE)</f>
        <v>39.54</v>
      </c>
      <c r="V321" s="261">
        <f t="shared" si="245"/>
        <v>0</v>
      </c>
      <c r="W321" s="267">
        <f t="shared" si="274"/>
        <v>29.47</v>
      </c>
      <c r="X321" s="261">
        <f>VLOOKUP($A321,[1]Planilha!$A$18:$BK$553,50,FALSE)</f>
        <v>29.47</v>
      </c>
      <c r="Y321" s="261">
        <f t="shared" si="246"/>
        <v>0</v>
      </c>
      <c r="Z321" s="267">
        <f t="shared" si="275"/>
        <v>39.28</v>
      </c>
      <c r="AA321" s="261">
        <f>VLOOKUP($A321,[1]Planilha!$A$18:$BK$553,58,FALSE)</f>
        <v>39.28</v>
      </c>
      <c r="AB321" s="261">
        <f t="shared" si="247"/>
        <v>0</v>
      </c>
      <c r="AC321" s="267">
        <f t="shared" si="276"/>
        <v>27.55</v>
      </c>
      <c r="AD321" s="261">
        <f>VLOOKUP($A321,[1]Planilha!$A$18:$BK$553,49,FALSE)</f>
        <v>27.55</v>
      </c>
      <c r="AE321" s="261">
        <f t="shared" si="248"/>
        <v>0</v>
      </c>
      <c r="AF321" s="268">
        <f t="shared" si="277"/>
        <v>36.799999999999997</v>
      </c>
      <c r="AG321" s="261">
        <f>VLOOKUP($A321,[1]Planilha!$A$18:$BK$553,57,FALSE)</f>
        <v>36.799999999999997</v>
      </c>
      <c r="AH321" s="261">
        <f t="shared" si="249"/>
        <v>0</v>
      </c>
    </row>
    <row r="322" spans="1:34" s="124" customFormat="1">
      <c r="A322" s="232">
        <v>7891721100048</v>
      </c>
      <c r="B322" s="126">
        <v>1008900710018</v>
      </c>
      <c r="C322" s="121" t="s">
        <v>2</v>
      </c>
      <c r="D322" s="92" t="s">
        <v>562</v>
      </c>
      <c r="E322" s="267">
        <f t="shared" si="278"/>
        <v>13.4</v>
      </c>
      <c r="F322" s="261">
        <f>VLOOKUP($A322,[1]Planilha!$A$18:$BK$553,54,FALSE)</f>
        <v>13.21</v>
      </c>
      <c r="G322" s="261">
        <f t="shared" si="240"/>
        <v>0.1899999999999995</v>
      </c>
      <c r="H322" s="267">
        <f t="shared" si="272"/>
        <v>17.84</v>
      </c>
      <c r="I322" s="261">
        <f>VLOOKUP($A322,[1]Planilha!$A$18:$BK$553,62,FALSE)</f>
        <v>17.84</v>
      </c>
      <c r="J322" s="261">
        <f t="shared" si="241"/>
        <v>0</v>
      </c>
      <c r="K322" s="267">
        <f>VLOOKUP(A322,[2]Plan1!$H$2:$J$279,3,FALSE)</f>
        <v>13.02</v>
      </c>
      <c r="L322" s="261">
        <f>VLOOKUP($A322,[1]Planilha!$A$18:$BK$553,52,FALSE)</f>
        <v>13.02</v>
      </c>
      <c r="M322" s="261">
        <f t="shared" si="242"/>
        <v>0</v>
      </c>
      <c r="N322" s="267">
        <f t="shared" si="273"/>
        <v>17.350000000000001</v>
      </c>
      <c r="O322" s="261">
        <f>VLOOKUP($A322,[1]Planilha!$A$18:$BK$553,60,FALSE)</f>
        <v>17.350000000000001</v>
      </c>
      <c r="P322" s="261">
        <f t="shared" si="243"/>
        <v>0</v>
      </c>
      <c r="Q322" s="267">
        <f t="shared" si="270"/>
        <v>12.93</v>
      </c>
      <c r="R322" s="261">
        <f>VLOOKUP($A322,[1]Planilha!$A$18:$BK$553,51,FALSE)</f>
        <v>12.93</v>
      </c>
      <c r="S322" s="261">
        <f t="shared" si="244"/>
        <v>0</v>
      </c>
      <c r="T322" s="267">
        <f t="shared" si="271"/>
        <v>17.23</v>
      </c>
      <c r="U322" s="261">
        <f>VLOOKUP($A322,[1]Planilha!$A$18:$BK$553,59,FALSE)</f>
        <v>17.23</v>
      </c>
      <c r="V322" s="261">
        <f t="shared" si="245"/>
        <v>0</v>
      </c>
      <c r="W322" s="267">
        <f t="shared" si="274"/>
        <v>12.84</v>
      </c>
      <c r="X322" s="261">
        <f>VLOOKUP($A322,[1]Planilha!$A$18:$BK$553,50,FALSE)</f>
        <v>12.84</v>
      </c>
      <c r="Y322" s="261">
        <f t="shared" si="246"/>
        <v>0</v>
      </c>
      <c r="Z322" s="267">
        <f t="shared" si="275"/>
        <v>17.11</v>
      </c>
      <c r="AA322" s="261">
        <f>VLOOKUP($A322,[1]Planilha!$A$18:$BK$553,58,FALSE)</f>
        <v>17.11</v>
      </c>
      <c r="AB322" s="261">
        <f t="shared" si="247"/>
        <v>0</v>
      </c>
      <c r="AC322" s="267">
        <f t="shared" si="276"/>
        <v>12.01</v>
      </c>
      <c r="AD322" s="261">
        <f>VLOOKUP($A322,[1]Planilha!$A$18:$BK$553,49,FALSE)</f>
        <v>12.01</v>
      </c>
      <c r="AE322" s="261">
        <f t="shared" si="248"/>
        <v>0</v>
      </c>
      <c r="AF322" s="268">
        <f t="shared" si="277"/>
        <v>16.04</v>
      </c>
      <c r="AG322" s="261">
        <f>VLOOKUP($A322,[1]Planilha!$A$18:$BK$553,57,FALSE)</f>
        <v>16.04</v>
      </c>
      <c r="AH322" s="261">
        <f t="shared" si="249"/>
        <v>0</v>
      </c>
    </row>
    <row r="323" spans="1:34" s="124" customFormat="1">
      <c r="A323" s="232">
        <v>7891721104923</v>
      </c>
      <c r="B323" s="310" t="s">
        <v>52</v>
      </c>
      <c r="C323" s="122" t="s">
        <v>494</v>
      </c>
      <c r="D323" s="311" t="s">
        <v>283</v>
      </c>
      <c r="E323" s="267">
        <f t="shared" si="278"/>
        <v>12.73</v>
      </c>
      <c r="F323" s="261">
        <f>VLOOKUP($A323,[1]Planilha!$A$18:$BK$553,54,FALSE)</f>
        <v>12.55</v>
      </c>
      <c r="G323" s="261">
        <f t="shared" si="240"/>
        <v>0.17999999999999972</v>
      </c>
      <c r="H323" s="267">
        <f t="shared" si="272"/>
        <v>16.940000000000001</v>
      </c>
      <c r="I323" s="261">
        <f>VLOOKUP($A323,[1]Planilha!$A$18:$BK$553,62,FALSE)</f>
        <v>16.940000000000001</v>
      </c>
      <c r="J323" s="261">
        <f t="shared" si="241"/>
        <v>0</v>
      </c>
      <c r="K323" s="267">
        <f>VLOOKUP(A323,[2]Plan1!$H$2:$J$279,3,FALSE)</f>
        <v>12.37</v>
      </c>
      <c r="L323" s="261">
        <f>VLOOKUP($A323,[1]Planilha!$A$18:$BK$553,52,FALSE)</f>
        <v>12.37</v>
      </c>
      <c r="M323" s="261">
        <f t="shared" si="242"/>
        <v>0</v>
      </c>
      <c r="N323" s="267">
        <f t="shared" si="273"/>
        <v>16.48</v>
      </c>
      <c r="O323" s="261">
        <f>VLOOKUP($A323,[1]Planilha!$A$18:$BK$553,60,FALSE)</f>
        <v>16.48</v>
      </c>
      <c r="P323" s="261">
        <f t="shared" si="243"/>
        <v>0</v>
      </c>
      <c r="Q323" s="267">
        <f t="shared" si="270"/>
        <v>12.28</v>
      </c>
      <c r="R323" s="261">
        <f>VLOOKUP($A323,[1]Planilha!$A$18:$BK$553,51,FALSE)</f>
        <v>12.28</v>
      </c>
      <c r="S323" s="261">
        <f t="shared" si="244"/>
        <v>0</v>
      </c>
      <c r="T323" s="267">
        <f t="shared" si="271"/>
        <v>16.36</v>
      </c>
      <c r="U323" s="261">
        <f>VLOOKUP($A323,[1]Planilha!$A$18:$BK$553,59,FALSE)</f>
        <v>16.36</v>
      </c>
      <c r="V323" s="261">
        <f t="shared" si="245"/>
        <v>0</v>
      </c>
      <c r="W323" s="267">
        <f t="shared" si="274"/>
        <v>12.2</v>
      </c>
      <c r="X323" s="261">
        <f>VLOOKUP($A323,[1]Planilha!$A$18:$BK$553,50,FALSE)</f>
        <v>12.2</v>
      </c>
      <c r="Y323" s="261">
        <f t="shared" si="246"/>
        <v>0</v>
      </c>
      <c r="Z323" s="267">
        <f t="shared" si="275"/>
        <v>16.260000000000002</v>
      </c>
      <c r="AA323" s="261">
        <f>VLOOKUP($A323,[1]Planilha!$A$18:$BK$553,58,FALSE)</f>
        <v>16.260000000000002</v>
      </c>
      <c r="AB323" s="261">
        <f t="shared" si="247"/>
        <v>0</v>
      </c>
      <c r="AC323" s="267">
        <f t="shared" si="276"/>
        <v>11.41</v>
      </c>
      <c r="AD323" s="261">
        <f>VLOOKUP($A323,[1]Planilha!$A$18:$BK$553,49,FALSE)</f>
        <v>11.41</v>
      </c>
      <c r="AE323" s="261">
        <f t="shared" si="248"/>
        <v>0</v>
      </c>
      <c r="AF323" s="268">
        <f t="shared" si="277"/>
        <v>15.24</v>
      </c>
      <c r="AG323" s="261">
        <f>VLOOKUP($A323,[1]Planilha!$A$18:$BK$553,57,FALSE)</f>
        <v>15.24</v>
      </c>
      <c r="AH323" s="261">
        <f t="shared" si="249"/>
        <v>0</v>
      </c>
    </row>
    <row r="324" spans="1:34" s="124" customFormat="1" ht="15">
      <c r="A324" s="414"/>
      <c r="B324" s="207" t="s">
        <v>686</v>
      </c>
      <c r="C324" s="208"/>
      <c r="D324" s="209"/>
      <c r="E324" s="188"/>
      <c r="F324" s="261" t="e">
        <f>VLOOKUP($A324,[1]Planilha!$A$18:$BK$553,54,FALSE)</f>
        <v>#N/A</v>
      </c>
      <c r="G324" s="261" t="e">
        <f t="shared" si="240"/>
        <v>#N/A</v>
      </c>
      <c r="H324" s="189"/>
      <c r="I324" s="261" t="e">
        <f>VLOOKUP($A324,[1]Planilha!$A$18:$BK$553,62,FALSE)</f>
        <v>#N/A</v>
      </c>
      <c r="J324" s="261" t="e">
        <f t="shared" si="241"/>
        <v>#N/A</v>
      </c>
      <c r="K324" s="267"/>
      <c r="L324" s="261" t="e">
        <f>VLOOKUP($A324,[1]Planilha!$A$18:$BK$553,52,FALSE)</f>
        <v>#N/A</v>
      </c>
      <c r="M324" s="261" t="e">
        <f t="shared" si="242"/>
        <v>#N/A</v>
      </c>
      <c r="N324" s="189"/>
      <c r="O324" s="261" t="e">
        <f>VLOOKUP($A324,[1]Planilha!$A$18:$BK$553,60,FALSE)</f>
        <v>#N/A</v>
      </c>
      <c r="P324" s="261" t="e">
        <f t="shared" si="243"/>
        <v>#N/A</v>
      </c>
      <c r="Q324" s="188"/>
      <c r="R324" s="261" t="e">
        <f>VLOOKUP($A324,[1]Planilha!$A$18:$BK$553,51,FALSE)</f>
        <v>#N/A</v>
      </c>
      <c r="S324" s="261" t="e">
        <f t="shared" si="244"/>
        <v>#N/A</v>
      </c>
      <c r="T324" s="189"/>
      <c r="U324" s="261" t="e">
        <f>VLOOKUP($A324,[1]Planilha!$A$18:$BK$553,59,FALSE)</f>
        <v>#N/A</v>
      </c>
      <c r="V324" s="261" t="e">
        <f t="shared" si="245"/>
        <v>#N/A</v>
      </c>
      <c r="W324" s="188"/>
      <c r="X324" s="261" t="e">
        <f>VLOOKUP($A324,[1]Planilha!$A$18:$BK$553,50,FALSE)</f>
        <v>#N/A</v>
      </c>
      <c r="Y324" s="261" t="e">
        <f t="shared" si="246"/>
        <v>#N/A</v>
      </c>
      <c r="Z324" s="189"/>
      <c r="AA324" s="261" t="e">
        <f>VLOOKUP($A324,[1]Planilha!$A$18:$BK$553,58,FALSE)</f>
        <v>#N/A</v>
      </c>
      <c r="AB324" s="261" t="e">
        <f t="shared" si="247"/>
        <v>#N/A</v>
      </c>
      <c r="AC324" s="188"/>
      <c r="AD324" s="261" t="e">
        <f>VLOOKUP($A324,[1]Planilha!$A$18:$BK$553,49,FALSE)</f>
        <v>#N/A</v>
      </c>
      <c r="AE324" s="261" t="e">
        <f t="shared" si="248"/>
        <v>#N/A</v>
      </c>
      <c r="AF324" s="191"/>
      <c r="AG324" s="261" t="e">
        <f>VLOOKUP($A324,[1]Planilha!$A$18:$BK$553,57,FALSE)</f>
        <v>#N/A</v>
      </c>
      <c r="AH324" s="261" t="e">
        <f t="shared" si="249"/>
        <v>#N/A</v>
      </c>
    </row>
    <row r="325" spans="1:34" s="124" customFormat="1">
      <c r="A325" s="232">
        <v>7891721024481</v>
      </c>
      <c r="B325" s="205">
        <v>1008903780020</v>
      </c>
      <c r="C325" s="121" t="s">
        <v>688</v>
      </c>
      <c r="D325" s="206" t="s">
        <v>687</v>
      </c>
      <c r="E325" s="267">
        <f t="shared" ref="E325:E326" si="279">ROUND(K325*1.028952,2)</f>
        <v>28.18</v>
      </c>
      <c r="F325" s="261">
        <f>VLOOKUP($A325,[1]Planilha!$A$18:$BK$553,54,FALSE)</f>
        <v>27.77</v>
      </c>
      <c r="G325" s="261">
        <f t="shared" si="240"/>
        <v>0.41000000000000014</v>
      </c>
      <c r="H325" s="267">
        <f>ROUND(E325/0.751296,2)</f>
        <v>37.51</v>
      </c>
      <c r="I325" s="261">
        <f>VLOOKUP($A325,[1]Planilha!$A$18:$BK$553,62,FALSE)</f>
        <v>37.5</v>
      </c>
      <c r="J325" s="261">
        <f t="shared" si="241"/>
        <v>9.9999999999980105E-3</v>
      </c>
      <c r="K325" s="267">
        <f>VLOOKUP(A325,[2]Plan1!$H$2:$J$279,3,FALSE)</f>
        <v>27.382721393496738</v>
      </c>
      <c r="L325" s="261">
        <f>VLOOKUP($A325,[1]Planilha!$A$18:$BK$553,52,FALSE)</f>
        <v>27.38</v>
      </c>
      <c r="M325" s="261">
        <f t="shared" si="242"/>
        <v>2.7213934967385001E-3</v>
      </c>
      <c r="N325" s="267">
        <f t="shared" ref="N325:N326" si="280">ROUND(K325/0.750577,2)</f>
        <v>36.479999999999997</v>
      </c>
      <c r="O325" s="261">
        <f>VLOOKUP($A325,[1]Planilha!$A$18:$BK$553,60,FALSE)</f>
        <v>36.479999999999997</v>
      </c>
      <c r="P325" s="261">
        <f t="shared" si="243"/>
        <v>0</v>
      </c>
      <c r="Q325" s="267">
        <f t="shared" si="270"/>
        <v>27.19</v>
      </c>
      <c r="R325" s="261">
        <f>VLOOKUP($A325,[1]Planilha!$A$18:$BK$553,51,FALSE)</f>
        <v>27.19</v>
      </c>
      <c r="S325" s="261">
        <f t="shared" si="244"/>
        <v>0</v>
      </c>
      <c r="T325" s="267">
        <f t="shared" si="271"/>
        <v>36.229999999999997</v>
      </c>
      <c r="U325" s="261">
        <f>VLOOKUP($A325,[1]Planilha!$A$18:$BK$553,59,FALSE)</f>
        <v>36.229999999999997</v>
      </c>
      <c r="V325" s="261">
        <f t="shared" si="245"/>
        <v>0</v>
      </c>
      <c r="W325" s="267">
        <f>ROUND(K325*0.986128,2)</f>
        <v>27</v>
      </c>
      <c r="X325" s="261">
        <f>VLOOKUP($A325,[1]Planilha!$A$18:$BK$553,50,FALSE)</f>
        <v>27</v>
      </c>
      <c r="Y325" s="261">
        <f t="shared" si="246"/>
        <v>0</v>
      </c>
      <c r="Z325" s="267">
        <f>ROUND(W325/0.75023,2)</f>
        <v>35.99</v>
      </c>
      <c r="AA325" s="261">
        <f>VLOOKUP($A325,[1]Planilha!$A$18:$BK$553,58,FALSE)</f>
        <v>35.99</v>
      </c>
      <c r="AB325" s="261">
        <f t="shared" si="247"/>
        <v>0</v>
      </c>
      <c r="AC325" s="267">
        <f>ROUND(K325*0.922175,2)</f>
        <v>25.25</v>
      </c>
      <c r="AD325" s="261">
        <f>VLOOKUP($A325,[1]Planilha!$A$18:$BK$553,49,FALSE)</f>
        <v>25.25</v>
      </c>
      <c r="AE325" s="261">
        <f t="shared" si="248"/>
        <v>0</v>
      </c>
      <c r="AF325" s="268">
        <f>ROUND(AC325/0.748624,2)</f>
        <v>33.729999999999997</v>
      </c>
      <c r="AG325" s="261">
        <f>VLOOKUP($A325,[1]Planilha!$A$18:$BK$553,57,FALSE)</f>
        <v>33.729999999999997</v>
      </c>
      <c r="AH325" s="261">
        <f t="shared" si="249"/>
        <v>0</v>
      </c>
    </row>
    <row r="326" spans="1:34" s="124" customFormat="1">
      <c r="A326" s="232">
        <v>7891721024474</v>
      </c>
      <c r="B326" s="310">
        <v>1008903780012</v>
      </c>
      <c r="C326" s="122">
        <v>3183650004</v>
      </c>
      <c r="D326" s="311" t="s">
        <v>712</v>
      </c>
      <c r="E326" s="269">
        <f t="shared" si="279"/>
        <v>9.3800000000000008</v>
      </c>
      <c r="F326" s="261">
        <f>VLOOKUP($A326,[1]Planilha!$A$18:$BK$553,54,FALSE)</f>
        <v>9.25</v>
      </c>
      <c r="G326" s="261">
        <f t="shared" si="240"/>
        <v>0.13000000000000078</v>
      </c>
      <c r="H326" s="269">
        <f>ROUND(E326/0.751296,2)</f>
        <v>12.49</v>
      </c>
      <c r="I326" s="261">
        <f>VLOOKUP($A326,[1]Planilha!$A$18:$BK$553,62,FALSE)</f>
        <v>12.49</v>
      </c>
      <c r="J326" s="261">
        <f t="shared" si="241"/>
        <v>0</v>
      </c>
      <c r="K326" s="267">
        <f>VLOOKUP(A326,[2]Plan1!$H$2:$J$279,3,FALSE)</f>
        <v>9.1207032116088111</v>
      </c>
      <c r="L326" s="261">
        <f>VLOOKUP($A326,[1]Planilha!$A$18:$BK$553,52,FALSE)</f>
        <v>9.1199999999999992</v>
      </c>
      <c r="M326" s="261">
        <f t="shared" si="242"/>
        <v>7.0321160881192668E-4</v>
      </c>
      <c r="N326" s="269">
        <f t="shared" si="280"/>
        <v>12.15</v>
      </c>
      <c r="O326" s="261">
        <f>VLOOKUP($A326,[1]Planilha!$A$18:$BK$553,60,FALSE)</f>
        <v>12.15</v>
      </c>
      <c r="P326" s="261">
        <f t="shared" si="243"/>
        <v>0</v>
      </c>
      <c r="Q326" s="269">
        <f t="shared" si="270"/>
        <v>9.06</v>
      </c>
      <c r="R326" s="261">
        <f>VLOOKUP($A326,[1]Planilha!$A$18:$BK$553,51,FALSE)</f>
        <v>9.06</v>
      </c>
      <c r="S326" s="261">
        <f t="shared" si="244"/>
        <v>0</v>
      </c>
      <c r="T326" s="269">
        <f t="shared" si="271"/>
        <v>12.07</v>
      </c>
      <c r="U326" s="261">
        <f>VLOOKUP($A326,[1]Planilha!$A$18:$BK$553,59,FALSE)</f>
        <v>12.07</v>
      </c>
      <c r="V326" s="261">
        <f t="shared" si="245"/>
        <v>0</v>
      </c>
      <c r="W326" s="269">
        <f>ROUND(K326*0.986128,2)</f>
        <v>8.99</v>
      </c>
      <c r="X326" s="261">
        <f>VLOOKUP($A326,[1]Planilha!$A$18:$BK$553,50,FALSE)</f>
        <v>8.99</v>
      </c>
      <c r="Y326" s="261">
        <f t="shared" si="246"/>
        <v>0</v>
      </c>
      <c r="Z326" s="269">
        <f>ROUND(W326/0.75023,2)</f>
        <v>11.98</v>
      </c>
      <c r="AA326" s="261">
        <f>VLOOKUP($A326,[1]Planilha!$A$18:$BK$553,58,FALSE)</f>
        <v>11.98</v>
      </c>
      <c r="AB326" s="261">
        <f t="shared" si="247"/>
        <v>0</v>
      </c>
      <c r="AC326" s="269">
        <f>ROUND(K326*0.922175,2)</f>
        <v>8.41</v>
      </c>
      <c r="AD326" s="261">
        <f>VLOOKUP($A326,[1]Planilha!$A$18:$BK$553,49,FALSE)</f>
        <v>8.41</v>
      </c>
      <c r="AE326" s="261">
        <f t="shared" si="248"/>
        <v>0</v>
      </c>
      <c r="AF326" s="270">
        <f>ROUND(AC326/0.748624,2)</f>
        <v>11.23</v>
      </c>
      <c r="AG326" s="261">
        <f>VLOOKUP($A326,[1]Planilha!$A$18:$BK$553,57,FALSE)</f>
        <v>11.23</v>
      </c>
      <c r="AH326" s="261">
        <f t="shared" si="249"/>
        <v>0</v>
      </c>
    </row>
    <row r="327" spans="1:34" s="124" customFormat="1" ht="15">
      <c r="A327" s="414"/>
      <c r="B327" s="105" t="s">
        <v>5</v>
      </c>
      <c r="C327" s="105"/>
      <c r="D327" s="106"/>
      <c r="E327" s="186"/>
      <c r="F327" s="261" t="e">
        <f>VLOOKUP($A327,[1]Planilha!$A$18:$BK$553,54,FALSE)</f>
        <v>#N/A</v>
      </c>
      <c r="G327" s="261" t="e">
        <f t="shared" si="240"/>
        <v>#N/A</v>
      </c>
      <c r="H327" s="187"/>
      <c r="I327" s="261" t="e">
        <f>VLOOKUP($A327,[1]Planilha!$A$18:$BK$553,62,FALSE)</f>
        <v>#N/A</v>
      </c>
      <c r="J327" s="261" t="e">
        <f t="shared" si="241"/>
        <v>#N/A</v>
      </c>
      <c r="K327" s="267"/>
      <c r="L327" s="261" t="e">
        <f>VLOOKUP($A327,[1]Planilha!$A$18:$BK$553,52,FALSE)</f>
        <v>#N/A</v>
      </c>
      <c r="M327" s="261" t="e">
        <f t="shared" si="242"/>
        <v>#N/A</v>
      </c>
      <c r="N327" s="187"/>
      <c r="O327" s="261" t="e">
        <f>VLOOKUP($A327,[1]Planilha!$A$18:$BK$553,60,FALSE)</f>
        <v>#N/A</v>
      </c>
      <c r="P327" s="261" t="e">
        <f t="shared" si="243"/>
        <v>#N/A</v>
      </c>
      <c r="Q327" s="186"/>
      <c r="R327" s="261" t="e">
        <f>VLOOKUP($A327,[1]Planilha!$A$18:$BK$553,51,FALSE)</f>
        <v>#N/A</v>
      </c>
      <c r="S327" s="261" t="e">
        <f t="shared" si="244"/>
        <v>#N/A</v>
      </c>
      <c r="T327" s="187"/>
      <c r="U327" s="261" t="e">
        <f>VLOOKUP($A327,[1]Planilha!$A$18:$BK$553,59,FALSE)</f>
        <v>#N/A</v>
      </c>
      <c r="V327" s="261" t="e">
        <f t="shared" si="245"/>
        <v>#N/A</v>
      </c>
      <c r="W327" s="186"/>
      <c r="X327" s="261" t="e">
        <f>VLOOKUP($A327,[1]Planilha!$A$18:$BK$553,50,FALSE)</f>
        <v>#N/A</v>
      </c>
      <c r="Y327" s="261" t="e">
        <f t="shared" si="246"/>
        <v>#N/A</v>
      </c>
      <c r="Z327" s="187"/>
      <c r="AA327" s="261" t="e">
        <f>VLOOKUP($A327,[1]Planilha!$A$18:$BK$553,58,FALSE)</f>
        <v>#N/A</v>
      </c>
      <c r="AB327" s="261" t="e">
        <f t="shared" si="247"/>
        <v>#N/A</v>
      </c>
      <c r="AC327" s="186"/>
      <c r="AD327" s="261" t="e">
        <f>VLOOKUP($A327,[1]Planilha!$A$18:$BK$553,49,FALSE)</f>
        <v>#N/A</v>
      </c>
      <c r="AE327" s="261" t="e">
        <f t="shared" si="248"/>
        <v>#N/A</v>
      </c>
      <c r="AF327" s="190"/>
      <c r="AG327" s="261" t="e">
        <f>VLOOKUP($A327,[1]Planilha!$A$18:$BK$553,57,FALSE)</f>
        <v>#N/A</v>
      </c>
      <c r="AH327" s="261" t="e">
        <f t="shared" si="249"/>
        <v>#N/A</v>
      </c>
    </row>
    <row r="328" spans="1:34" s="124" customFormat="1">
      <c r="A328" s="232">
        <v>7891721016202</v>
      </c>
      <c r="B328" s="126" t="s">
        <v>24</v>
      </c>
      <c r="C328" s="123" t="s">
        <v>8</v>
      </c>
      <c r="D328" s="214" t="s">
        <v>11</v>
      </c>
      <c r="E328" s="273">
        <f t="shared" ref="E328:E334" si="281">ROUND(K328*1.028952,2)</f>
        <v>15.47</v>
      </c>
      <c r="F328" s="261">
        <f>VLOOKUP($A328,[1]Planilha!$A$18:$BK$553,54,FALSE)</f>
        <v>15.25</v>
      </c>
      <c r="G328" s="261">
        <f t="shared" ref="G328:G369" si="282">E328-F328</f>
        <v>0.22000000000000064</v>
      </c>
      <c r="H328" s="273">
        <f t="shared" ref="H328:H334" si="283">ROUND(E328/0.751296,2)</f>
        <v>20.59</v>
      </c>
      <c r="I328" s="261">
        <f>VLOOKUP($A328,[1]Planilha!$A$18:$BK$553,62,FALSE)</f>
        <v>20.59</v>
      </c>
      <c r="J328" s="261">
        <f t="shared" ref="J328:J369" si="284">H328-I328</f>
        <v>0</v>
      </c>
      <c r="K328" s="267">
        <f>VLOOKUP(A328,[2]Plan1!$H$2:$J$279,3,FALSE)</f>
        <v>15.031509054029229</v>
      </c>
      <c r="L328" s="261">
        <f>VLOOKUP($A328,[1]Planilha!$A$18:$BK$553,52,FALSE)</f>
        <v>15.03</v>
      </c>
      <c r="M328" s="261">
        <f t="shared" ref="M328:M369" si="285">K328-L328</f>
        <v>1.5090540292295174E-3</v>
      </c>
      <c r="N328" s="273">
        <f t="shared" ref="N328:N334" si="286">ROUND(K328/0.750577,2)</f>
        <v>20.03</v>
      </c>
      <c r="O328" s="261">
        <f>VLOOKUP($A328,[1]Planilha!$A$18:$BK$553,60,FALSE)</f>
        <v>20.03</v>
      </c>
      <c r="P328" s="261">
        <f t="shared" ref="P328:P369" si="287">N328-O328</f>
        <v>0</v>
      </c>
      <c r="Q328" s="273">
        <f t="shared" si="270"/>
        <v>14.93</v>
      </c>
      <c r="R328" s="261">
        <f>VLOOKUP($A328,[1]Planilha!$A$18:$BK$553,51,FALSE)</f>
        <v>14.93</v>
      </c>
      <c r="S328" s="261">
        <f t="shared" ref="S328:S369" si="288">Q328-R328</f>
        <v>0</v>
      </c>
      <c r="T328" s="273">
        <f t="shared" si="271"/>
        <v>19.899999999999999</v>
      </c>
      <c r="U328" s="261">
        <f>VLOOKUP($A328,[1]Planilha!$A$18:$BK$553,59,FALSE)</f>
        <v>19.899999999999999</v>
      </c>
      <c r="V328" s="261">
        <f t="shared" ref="V328:V369" si="289">T328-U328</f>
        <v>0</v>
      </c>
      <c r="W328" s="273">
        <f t="shared" ref="W328:W334" si="290">ROUND(K328*0.986128,2)</f>
        <v>14.82</v>
      </c>
      <c r="X328" s="261">
        <f>VLOOKUP($A328,[1]Planilha!$A$18:$BK$553,50,FALSE)</f>
        <v>14.82</v>
      </c>
      <c r="Y328" s="261">
        <f t="shared" ref="Y328:Y369" si="291">W328-X328</f>
        <v>0</v>
      </c>
      <c r="Z328" s="273">
        <f t="shared" ref="Z328:Z334" si="292">ROUND(W328/0.75023,2)</f>
        <v>19.75</v>
      </c>
      <c r="AA328" s="261">
        <f>VLOOKUP($A328,[1]Planilha!$A$18:$BK$553,58,FALSE)</f>
        <v>19.75</v>
      </c>
      <c r="AB328" s="261">
        <f t="shared" ref="AB328:AB369" si="293">Z328-AA328</f>
        <v>0</v>
      </c>
      <c r="AC328" s="273">
        <f t="shared" ref="AC328:AC334" si="294">ROUND(K328*0.922175,2)</f>
        <v>13.86</v>
      </c>
      <c r="AD328" s="261">
        <f>VLOOKUP($A328,[1]Planilha!$A$18:$BK$553,49,FALSE)</f>
        <v>13.86</v>
      </c>
      <c r="AE328" s="261">
        <f t="shared" ref="AE328:AE369" si="295">AC328-AD328</f>
        <v>0</v>
      </c>
      <c r="AF328" s="274">
        <f t="shared" ref="AF328:AF334" si="296">ROUND(AC328/0.748624,2)</f>
        <v>18.510000000000002</v>
      </c>
      <c r="AG328" s="261">
        <f>VLOOKUP($A328,[1]Planilha!$A$18:$BK$553,57,FALSE)</f>
        <v>18.510000000000002</v>
      </c>
      <c r="AH328" s="261">
        <f t="shared" ref="AH328:AH369" si="297">AF328-AG328</f>
        <v>0</v>
      </c>
    </row>
    <row r="329" spans="1:34" s="124" customFormat="1">
      <c r="A329" s="232">
        <v>7891721016219</v>
      </c>
      <c r="B329" s="126" t="s">
        <v>23</v>
      </c>
      <c r="C329" s="121" t="s">
        <v>6</v>
      </c>
      <c r="D329" s="92" t="s">
        <v>9</v>
      </c>
      <c r="E329" s="267">
        <f t="shared" si="281"/>
        <v>15.47</v>
      </c>
      <c r="F329" s="261">
        <f>VLOOKUP($A329,[1]Planilha!$A$18:$BK$553,54,FALSE)</f>
        <v>15.25</v>
      </c>
      <c r="G329" s="261">
        <f t="shared" si="282"/>
        <v>0.22000000000000064</v>
      </c>
      <c r="H329" s="267">
        <f t="shared" si="283"/>
        <v>20.59</v>
      </c>
      <c r="I329" s="261">
        <f>VLOOKUP($A329,[1]Planilha!$A$18:$BK$553,62,FALSE)</f>
        <v>20.59</v>
      </c>
      <c r="J329" s="261">
        <f t="shared" si="284"/>
        <v>0</v>
      </c>
      <c r="K329" s="267">
        <f>VLOOKUP(A329,[2]Plan1!$H$2:$J$279,3,FALSE)</f>
        <v>15.031509054029229</v>
      </c>
      <c r="L329" s="261">
        <f>VLOOKUP($A329,[1]Planilha!$A$18:$BK$553,52,FALSE)</f>
        <v>15.03</v>
      </c>
      <c r="M329" s="261">
        <f t="shared" si="285"/>
        <v>1.5090540292295174E-3</v>
      </c>
      <c r="N329" s="267">
        <f t="shared" si="286"/>
        <v>20.03</v>
      </c>
      <c r="O329" s="261">
        <f>VLOOKUP($A329,[1]Planilha!$A$18:$BK$553,60,FALSE)</f>
        <v>20.03</v>
      </c>
      <c r="P329" s="261">
        <f t="shared" si="287"/>
        <v>0</v>
      </c>
      <c r="Q329" s="267">
        <f t="shared" si="270"/>
        <v>14.93</v>
      </c>
      <c r="R329" s="261">
        <f>VLOOKUP($A329,[1]Planilha!$A$18:$BK$553,51,FALSE)</f>
        <v>14.93</v>
      </c>
      <c r="S329" s="261">
        <f t="shared" si="288"/>
        <v>0</v>
      </c>
      <c r="T329" s="267">
        <f t="shared" si="271"/>
        <v>19.899999999999999</v>
      </c>
      <c r="U329" s="261">
        <f>VLOOKUP($A329,[1]Planilha!$A$18:$BK$553,59,FALSE)</f>
        <v>19.899999999999999</v>
      </c>
      <c r="V329" s="261">
        <f t="shared" si="289"/>
        <v>0</v>
      </c>
      <c r="W329" s="267">
        <f t="shared" si="290"/>
        <v>14.82</v>
      </c>
      <c r="X329" s="261">
        <f>VLOOKUP($A329,[1]Planilha!$A$18:$BK$553,50,FALSE)</f>
        <v>14.82</v>
      </c>
      <c r="Y329" s="261">
        <f t="shared" si="291"/>
        <v>0</v>
      </c>
      <c r="Z329" s="267">
        <f t="shared" si="292"/>
        <v>19.75</v>
      </c>
      <c r="AA329" s="261">
        <f>VLOOKUP($A329,[1]Planilha!$A$18:$BK$553,58,FALSE)</f>
        <v>19.75</v>
      </c>
      <c r="AB329" s="261">
        <f t="shared" si="293"/>
        <v>0</v>
      </c>
      <c r="AC329" s="267">
        <f t="shared" si="294"/>
        <v>13.86</v>
      </c>
      <c r="AD329" s="261">
        <f>VLOOKUP($A329,[1]Planilha!$A$18:$BK$553,49,FALSE)</f>
        <v>13.86</v>
      </c>
      <c r="AE329" s="261">
        <f t="shared" si="295"/>
        <v>0</v>
      </c>
      <c r="AF329" s="268">
        <f t="shared" si="296"/>
        <v>18.510000000000002</v>
      </c>
      <c r="AG329" s="261">
        <f>VLOOKUP($A329,[1]Planilha!$A$18:$BK$553,57,FALSE)</f>
        <v>18.510000000000002</v>
      </c>
      <c r="AH329" s="261">
        <f t="shared" si="297"/>
        <v>0</v>
      </c>
    </row>
    <row r="330" spans="1:34" s="124" customFormat="1">
      <c r="A330" s="232">
        <v>7891721016226</v>
      </c>
      <c r="B330" s="126" t="s">
        <v>25</v>
      </c>
      <c r="C330" s="121" t="s">
        <v>7</v>
      </c>
      <c r="D330" s="92" t="s">
        <v>10</v>
      </c>
      <c r="E330" s="267">
        <f t="shared" si="281"/>
        <v>15.47</v>
      </c>
      <c r="F330" s="261">
        <f>VLOOKUP($A330,[1]Planilha!$A$18:$BK$553,54,FALSE)</f>
        <v>15.25</v>
      </c>
      <c r="G330" s="261">
        <f t="shared" si="282"/>
        <v>0.22000000000000064</v>
      </c>
      <c r="H330" s="267">
        <f t="shared" si="283"/>
        <v>20.59</v>
      </c>
      <c r="I330" s="261">
        <f>VLOOKUP($A330,[1]Planilha!$A$18:$BK$553,62,FALSE)</f>
        <v>20.59</v>
      </c>
      <c r="J330" s="261">
        <f t="shared" si="284"/>
        <v>0</v>
      </c>
      <c r="K330" s="267">
        <f>VLOOKUP(A330,[2]Plan1!$H$2:$J$279,3,FALSE)</f>
        <v>15.031509054029229</v>
      </c>
      <c r="L330" s="261">
        <f>VLOOKUP($A330,[1]Planilha!$A$18:$BK$553,52,FALSE)</f>
        <v>15.03</v>
      </c>
      <c r="M330" s="261">
        <f t="shared" si="285"/>
        <v>1.5090540292295174E-3</v>
      </c>
      <c r="N330" s="267">
        <f t="shared" si="286"/>
        <v>20.03</v>
      </c>
      <c r="O330" s="261">
        <f>VLOOKUP($A330,[1]Planilha!$A$18:$BK$553,60,FALSE)</f>
        <v>20.03</v>
      </c>
      <c r="P330" s="261">
        <f t="shared" si="287"/>
        <v>0</v>
      </c>
      <c r="Q330" s="267">
        <f t="shared" si="270"/>
        <v>14.93</v>
      </c>
      <c r="R330" s="261">
        <f>VLOOKUP($A330,[1]Planilha!$A$18:$BK$553,51,FALSE)</f>
        <v>14.93</v>
      </c>
      <c r="S330" s="261">
        <f t="shared" si="288"/>
        <v>0</v>
      </c>
      <c r="T330" s="267">
        <f t="shared" si="271"/>
        <v>19.899999999999999</v>
      </c>
      <c r="U330" s="261">
        <f>VLOOKUP($A330,[1]Planilha!$A$18:$BK$553,59,FALSE)</f>
        <v>19.899999999999999</v>
      </c>
      <c r="V330" s="261">
        <f t="shared" si="289"/>
        <v>0</v>
      </c>
      <c r="W330" s="267">
        <f t="shared" si="290"/>
        <v>14.82</v>
      </c>
      <c r="X330" s="261">
        <f>VLOOKUP($A330,[1]Planilha!$A$18:$BK$553,50,FALSE)</f>
        <v>14.82</v>
      </c>
      <c r="Y330" s="261">
        <f t="shared" si="291"/>
        <v>0</v>
      </c>
      <c r="Z330" s="267">
        <f t="shared" si="292"/>
        <v>19.75</v>
      </c>
      <c r="AA330" s="261">
        <f>VLOOKUP($A330,[1]Planilha!$A$18:$BK$553,58,FALSE)</f>
        <v>19.75</v>
      </c>
      <c r="AB330" s="261">
        <f t="shared" si="293"/>
        <v>0</v>
      </c>
      <c r="AC330" s="267">
        <f t="shared" si="294"/>
        <v>13.86</v>
      </c>
      <c r="AD330" s="261">
        <f>VLOOKUP($A330,[1]Planilha!$A$18:$BK$553,49,FALSE)</f>
        <v>13.86</v>
      </c>
      <c r="AE330" s="261">
        <f t="shared" si="295"/>
        <v>0</v>
      </c>
      <c r="AF330" s="268">
        <f t="shared" si="296"/>
        <v>18.510000000000002</v>
      </c>
      <c r="AG330" s="261">
        <f>VLOOKUP($A330,[1]Planilha!$A$18:$BK$553,57,FALSE)</f>
        <v>18.510000000000002</v>
      </c>
      <c r="AH330" s="261">
        <f t="shared" si="297"/>
        <v>0</v>
      </c>
    </row>
    <row r="331" spans="1:34" s="124" customFormat="1">
      <c r="A331" s="232">
        <v>7891721023439</v>
      </c>
      <c r="B331" s="126">
        <v>1008903360080</v>
      </c>
      <c r="C331" s="126" t="s">
        <v>605</v>
      </c>
      <c r="D331" s="125" t="s">
        <v>603</v>
      </c>
      <c r="E331" s="267">
        <f t="shared" si="281"/>
        <v>15.47</v>
      </c>
      <c r="F331" s="261">
        <f>VLOOKUP($A331,[1]Planilha!$A$18:$BK$553,54,FALSE)</f>
        <v>15.25</v>
      </c>
      <c r="G331" s="261">
        <f t="shared" si="282"/>
        <v>0.22000000000000064</v>
      </c>
      <c r="H331" s="267">
        <f t="shared" si="283"/>
        <v>20.59</v>
      </c>
      <c r="I331" s="261">
        <f>VLOOKUP($A331,[1]Planilha!$A$18:$BK$553,62,FALSE)</f>
        <v>20.59</v>
      </c>
      <c r="J331" s="261">
        <f t="shared" si="284"/>
        <v>0</v>
      </c>
      <c r="K331" s="267">
        <f>VLOOKUP(A331,[2]Plan1!$H$2:$J$279,3,FALSE)</f>
        <v>15.031509054029229</v>
      </c>
      <c r="L331" s="261">
        <f>VLOOKUP($A331,[1]Planilha!$A$18:$BK$553,52,FALSE)</f>
        <v>15.03</v>
      </c>
      <c r="M331" s="261">
        <f t="shared" si="285"/>
        <v>1.5090540292295174E-3</v>
      </c>
      <c r="N331" s="267">
        <f t="shared" si="286"/>
        <v>20.03</v>
      </c>
      <c r="O331" s="261">
        <f>VLOOKUP($A331,[1]Planilha!$A$18:$BK$553,60,FALSE)</f>
        <v>20.03</v>
      </c>
      <c r="P331" s="261">
        <f t="shared" si="287"/>
        <v>0</v>
      </c>
      <c r="Q331" s="267">
        <f t="shared" si="270"/>
        <v>14.93</v>
      </c>
      <c r="R331" s="261">
        <f>VLOOKUP($A331,[1]Planilha!$A$18:$BK$553,51,FALSE)</f>
        <v>14.93</v>
      </c>
      <c r="S331" s="261">
        <f t="shared" si="288"/>
        <v>0</v>
      </c>
      <c r="T331" s="267">
        <f t="shared" si="271"/>
        <v>19.899999999999999</v>
      </c>
      <c r="U331" s="261">
        <f>VLOOKUP($A331,[1]Planilha!$A$18:$BK$553,59,FALSE)</f>
        <v>19.899999999999999</v>
      </c>
      <c r="V331" s="261">
        <f t="shared" si="289"/>
        <v>0</v>
      </c>
      <c r="W331" s="267">
        <f t="shared" si="290"/>
        <v>14.82</v>
      </c>
      <c r="X331" s="261">
        <f>VLOOKUP($A331,[1]Planilha!$A$18:$BK$553,50,FALSE)</f>
        <v>14.82</v>
      </c>
      <c r="Y331" s="261">
        <f t="shared" si="291"/>
        <v>0</v>
      </c>
      <c r="Z331" s="267">
        <f t="shared" si="292"/>
        <v>19.75</v>
      </c>
      <c r="AA331" s="261">
        <f>VLOOKUP($A331,[1]Planilha!$A$18:$BK$553,58,FALSE)</f>
        <v>19.75</v>
      </c>
      <c r="AB331" s="261">
        <f t="shared" si="293"/>
        <v>0</v>
      </c>
      <c r="AC331" s="267">
        <f t="shared" si="294"/>
        <v>13.86</v>
      </c>
      <c r="AD331" s="261">
        <f>VLOOKUP($A331,[1]Planilha!$A$18:$BK$553,49,FALSE)</f>
        <v>13.86</v>
      </c>
      <c r="AE331" s="261">
        <f t="shared" si="295"/>
        <v>0</v>
      </c>
      <c r="AF331" s="268">
        <f t="shared" si="296"/>
        <v>18.510000000000002</v>
      </c>
      <c r="AG331" s="261">
        <f>VLOOKUP($A331,[1]Planilha!$A$18:$BK$553,57,FALSE)</f>
        <v>18.510000000000002</v>
      </c>
      <c r="AH331" s="261">
        <f t="shared" si="297"/>
        <v>0</v>
      </c>
    </row>
    <row r="332" spans="1:34" s="124" customFormat="1">
      <c r="A332" s="232">
        <v>7891721024719</v>
      </c>
      <c r="B332" s="126">
        <v>1008903360099</v>
      </c>
      <c r="C332" s="126" t="s">
        <v>606</v>
      </c>
      <c r="D332" s="125" t="s">
        <v>604</v>
      </c>
      <c r="E332" s="267">
        <f t="shared" si="281"/>
        <v>15.47</v>
      </c>
      <c r="F332" s="261">
        <f>VLOOKUP($A332,[1]Planilha!$A$18:$BK$553,54,FALSE)</f>
        <v>15.25</v>
      </c>
      <c r="G332" s="261">
        <f t="shared" si="282"/>
        <v>0.22000000000000064</v>
      </c>
      <c r="H332" s="267">
        <f t="shared" si="283"/>
        <v>20.59</v>
      </c>
      <c r="I332" s="261">
        <f>VLOOKUP($A332,[1]Planilha!$A$18:$BK$553,62,FALSE)</f>
        <v>20.59</v>
      </c>
      <c r="J332" s="261">
        <f t="shared" si="284"/>
        <v>0</v>
      </c>
      <c r="K332" s="267">
        <f>VLOOKUP(A332,[2]Plan1!$H$2:$J$279,3,FALSE)</f>
        <v>15.031509054029229</v>
      </c>
      <c r="L332" s="261">
        <f>VLOOKUP($A332,[1]Planilha!$A$18:$BK$553,52,FALSE)</f>
        <v>15.03</v>
      </c>
      <c r="M332" s="261">
        <f t="shared" si="285"/>
        <v>1.5090540292295174E-3</v>
      </c>
      <c r="N332" s="267">
        <f t="shared" si="286"/>
        <v>20.03</v>
      </c>
      <c r="O332" s="261">
        <f>VLOOKUP($A332,[1]Planilha!$A$18:$BK$553,60,FALSE)</f>
        <v>20.03</v>
      </c>
      <c r="P332" s="261">
        <f t="shared" si="287"/>
        <v>0</v>
      </c>
      <c r="Q332" s="267">
        <f t="shared" si="270"/>
        <v>14.93</v>
      </c>
      <c r="R332" s="261">
        <f>VLOOKUP($A332,[1]Planilha!$A$18:$BK$553,51,FALSE)</f>
        <v>14.93</v>
      </c>
      <c r="S332" s="261">
        <f t="shared" si="288"/>
        <v>0</v>
      </c>
      <c r="T332" s="267">
        <f t="shared" si="271"/>
        <v>19.899999999999999</v>
      </c>
      <c r="U332" s="261">
        <f>VLOOKUP($A332,[1]Planilha!$A$18:$BK$553,59,FALSE)</f>
        <v>19.899999999999999</v>
      </c>
      <c r="V332" s="261">
        <f t="shared" si="289"/>
        <v>0</v>
      </c>
      <c r="W332" s="267">
        <f t="shared" si="290"/>
        <v>14.82</v>
      </c>
      <c r="X332" s="261">
        <f>VLOOKUP($A332,[1]Planilha!$A$18:$BK$553,50,FALSE)</f>
        <v>14.82</v>
      </c>
      <c r="Y332" s="261">
        <f t="shared" si="291"/>
        <v>0</v>
      </c>
      <c r="Z332" s="267">
        <f t="shared" si="292"/>
        <v>19.75</v>
      </c>
      <c r="AA332" s="261">
        <f>VLOOKUP($A332,[1]Planilha!$A$18:$BK$553,58,FALSE)</f>
        <v>19.75</v>
      </c>
      <c r="AB332" s="261">
        <f t="shared" si="293"/>
        <v>0</v>
      </c>
      <c r="AC332" s="267">
        <f t="shared" si="294"/>
        <v>13.86</v>
      </c>
      <c r="AD332" s="261">
        <f>VLOOKUP($A332,[1]Planilha!$A$18:$BK$553,49,FALSE)</f>
        <v>13.86</v>
      </c>
      <c r="AE332" s="261">
        <f t="shared" si="295"/>
        <v>0</v>
      </c>
      <c r="AF332" s="268">
        <f t="shared" si="296"/>
        <v>18.510000000000002</v>
      </c>
      <c r="AG332" s="261">
        <f>VLOOKUP($A332,[1]Planilha!$A$18:$BK$553,57,FALSE)</f>
        <v>18.510000000000002</v>
      </c>
      <c r="AH332" s="261">
        <f t="shared" si="297"/>
        <v>0</v>
      </c>
    </row>
    <row r="333" spans="1:34" s="124" customFormat="1">
      <c r="A333" s="232">
        <v>7891721024726</v>
      </c>
      <c r="B333" s="126">
        <v>1008903360137</v>
      </c>
      <c r="C333" s="126" t="s">
        <v>663</v>
      </c>
      <c r="D333" s="125" t="s">
        <v>662</v>
      </c>
      <c r="E333" s="267">
        <f t="shared" si="281"/>
        <v>16.21</v>
      </c>
      <c r="F333" s="261">
        <f>VLOOKUP($A333,[1]Planilha!$A$18:$BK$553,54,FALSE)</f>
        <v>15.98</v>
      </c>
      <c r="G333" s="261">
        <f t="shared" si="282"/>
        <v>0.23000000000000043</v>
      </c>
      <c r="H333" s="267">
        <f t="shared" si="283"/>
        <v>21.58</v>
      </c>
      <c r="I333" s="261">
        <f>VLOOKUP($A333,[1]Planilha!$A$18:$BK$553,62,FALSE)</f>
        <v>21.58</v>
      </c>
      <c r="J333" s="261">
        <f t="shared" si="284"/>
        <v>0</v>
      </c>
      <c r="K333" s="267">
        <f>VLOOKUP(A333,[2]Plan1!$H$2:$J$279,3,FALSE)</f>
        <v>15.751156486824962</v>
      </c>
      <c r="L333" s="261">
        <f>VLOOKUP($A333,[1]Planilha!$A$18:$BK$553,52,FALSE)</f>
        <v>15.75</v>
      </c>
      <c r="M333" s="261">
        <f t="shared" si="285"/>
        <v>1.1564868249624993E-3</v>
      </c>
      <c r="N333" s="267">
        <f t="shared" si="286"/>
        <v>20.99</v>
      </c>
      <c r="O333" s="261">
        <f>VLOOKUP($A333,[1]Planilha!$A$18:$BK$553,60,FALSE)</f>
        <v>20.99</v>
      </c>
      <c r="P333" s="261">
        <f t="shared" si="287"/>
        <v>0</v>
      </c>
      <c r="Q333" s="267">
        <f t="shared" si="270"/>
        <v>15.64</v>
      </c>
      <c r="R333" s="261">
        <f>VLOOKUP($A333,[1]Planilha!$A$18:$BK$553,51,FALSE)</f>
        <v>15.64</v>
      </c>
      <c r="S333" s="261">
        <f t="shared" si="288"/>
        <v>0</v>
      </c>
      <c r="T333" s="267">
        <f t="shared" si="271"/>
        <v>20.84</v>
      </c>
      <c r="U333" s="261">
        <f>VLOOKUP($A333,[1]Planilha!$A$18:$BK$553,59,FALSE)</f>
        <v>20.84</v>
      </c>
      <c r="V333" s="261">
        <f t="shared" si="289"/>
        <v>0</v>
      </c>
      <c r="W333" s="267">
        <f t="shared" si="290"/>
        <v>15.53</v>
      </c>
      <c r="X333" s="261">
        <f>VLOOKUP($A333,[1]Planilha!$A$18:$BK$553,50,FALSE)</f>
        <v>15.53</v>
      </c>
      <c r="Y333" s="261">
        <f t="shared" si="291"/>
        <v>0</v>
      </c>
      <c r="Z333" s="267">
        <f t="shared" si="292"/>
        <v>20.7</v>
      </c>
      <c r="AA333" s="261">
        <f>VLOOKUP($A333,[1]Planilha!$A$18:$BK$553,58,FALSE)</f>
        <v>20.7</v>
      </c>
      <c r="AB333" s="261">
        <f t="shared" si="293"/>
        <v>0</v>
      </c>
      <c r="AC333" s="267">
        <f t="shared" si="294"/>
        <v>14.53</v>
      </c>
      <c r="AD333" s="261">
        <f>VLOOKUP($A333,[1]Planilha!$A$18:$BK$553,49,FALSE)</f>
        <v>14.53</v>
      </c>
      <c r="AE333" s="261">
        <f t="shared" si="295"/>
        <v>0</v>
      </c>
      <c r="AF333" s="268">
        <f t="shared" si="296"/>
        <v>19.41</v>
      </c>
      <c r="AG333" s="261">
        <f>VLOOKUP($A333,[1]Planilha!$A$18:$BK$553,57,FALSE)</f>
        <v>19.41</v>
      </c>
      <c r="AH333" s="261">
        <f t="shared" si="297"/>
        <v>0</v>
      </c>
    </row>
    <row r="334" spans="1:34" s="124" customFormat="1">
      <c r="A334" s="232">
        <v>7891721022937</v>
      </c>
      <c r="B334" s="310">
        <v>1008903360102</v>
      </c>
      <c r="C334" s="122" t="s">
        <v>578</v>
      </c>
      <c r="D334" s="311" t="s">
        <v>577</v>
      </c>
      <c r="E334" s="269">
        <f t="shared" si="281"/>
        <v>16.21</v>
      </c>
      <c r="F334" s="261">
        <f>VLOOKUP($A334,[1]Planilha!$A$18:$BK$553,54,FALSE)</f>
        <v>15.98</v>
      </c>
      <c r="G334" s="261">
        <f t="shared" si="282"/>
        <v>0.23000000000000043</v>
      </c>
      <c r="H334" s="269">
        <f t="shared" si="283"/>
        <v>21.58</v>
      </c>
      <c r="I334" s="261">
        <f>VLOOKUP($A334,[1]Planilha!$A$18:$BK$553,62,FALSE)</f>
        <v>21.58</v>
      </c>
      <c r="J334" s="261">
        <f t="shared" si="284"/>
        <v>0</v>
      </c>
      <c r="K334" s="267">
        <f>VLOOKUP(A334,[2]Plan1!$H$2:$J$279,3,FALSE)</f>
        <v>15.751156486824962</v>
      </c>
      <c r="L334" s="261">
        <f>VLOOKUP($A334,[1]Planilha!$A$18:$BK$553,52,FALSE)</f>
        <v>15.75</v>
      </c>
      <c r="M334" s="261">
        <f t="shared" si="285"/>
        <v>1.1564868249624993E-3</v>
      </c>
      <c r="N334" s="269">
        <f t="shared" si="286"/>
        <v>20.99</v>
      </c>
      <c r="O334" s="261">
        <f>VLOOKUP($A334,[1]Planilha!$A$18:$BK$553,60,FALSE)</f>
        <v>20.99</v>
      </c>
      <c r="P334" s="261">
        <f t="shared" si="287"/>
        <v>0</v>
      </c>
      <c r="Q334" s="269">
        <f t="shared" si="270"/>
        <v>15.64</v>
      </c>
      <c r="R334" s="261">
        <f>VLOOKUP($A334,[1]Planilha!$A$18:$BK$553,51,FALSE)</f>
        <v>15.64</v>
      </c>
      <c r="S334" s="261">
        <f t="shared" si="288"/>
        <v>0</v>
      </c>
      <c r="T334" s="269">
        <f t="shared" si="271"/>
        <v>20.84</v>
      </c>
      <c r="U334" s="261">
        <f>VLOOKUP($A334,[1]Planilha!$A$18:$BK$553,59,FALSE)</f>
        <v>20.84</v>
      </c>
      <c r="V334" s="261">
        <f t="shared" si="289"/>
        <v>0</v>
      </c>
      <c r="W334" s="269">
        <f t="shared" si="290"/>
        <v>15.53</v>
      </c>
      <c r="X334" s="261">
        <f>VLOOKUP($A334,[1]Planilha!$A$18:$BK$553,50,FALSE)</f>
        <v>15.53</v>
      </c>
      <c r="Y334" s="261">
        <f t="shared" si="291"/>
        <v>0</v>
      </c>
      <c r="Z334" s="269">
        <f t="shared" si="292"/>
        <v>20.7</v>
      </c>
      <c r="AA334" s="261">
        <f>VLOOKUP($A334,[1]Planilha!$A$18:$BK$553,58,FALSE)</f>
        <v>20.7</v>
      </c>
      <c r="AB334" s="261">
        <f t="shared" si="293"/>
        <v>0</v>
      </c>
      <c r="AC334" s="269">
        <f t="shared" si="294"/>
        <v>14.53</v>
      </c>
      <c r="AD334" s="261">
        <f>VLOOKUP($A334,[1]Planilha!$A$18:$BK$553,49,FALSE)</f>
        <v>14.53</v>
      </c>
      <c r="AE334" s="261">
        <f t="shared" si="295"/>
        <v>0</v>
      </c>
      <c r="AF334" s="270">
        <f t="shared" si="296"/>
        <v>19.41</v>
      </c>
      <c r="AG334" s="261">
        <f>VLOOKUP($A334,[1]Planilha!$A$18:$BK$553,57,FALSE)</f>
        <v>19.41</v>
      </c>
      <c r="AH334" s="261">
        <f t="shared" si="297"/>
        <v>0</v>
      </c>
    </row>
    <row r="335" spans="1:34" s="124" customFormat="1" ht="15">
      <c r="A335" s="414"/>
      <c r="B335" s="105" t="s">
        <v>312</v>
      </c>
      <c r="C335" s="105"/>
      <c r="D335" s="106"/>
      <c r="E335" s="186"/>
      <c r="F335" s="261" t="e">
        <f>VLOOKUP($A335,[1]Planilha!$A$18:$BK$553,54,FALSE)</f>
        <v>#N/A</v>
      </c>
      <c r="G335" s="261" t="e">
        <f t="shared" si="282"/>
        <v>#N/A</v>
      </c>
      <c r="H335" s="187"/>
      <c r="I335" s="261" t="e">
        <f>VLOOKUP($A335,[1]Planilha!$A$18:$BK$553,62,FALSE)</f>
        <v>#N/A</v>
      </c>
      <c r="J335" s="261" t="e">
        <f t="shared" si="284"/>
        <v>#N/A</v>
      </c>
      <c r="K335" s="267"/>
      <c r="L335" s="261" t="e">
        <f>VLOOKUP($A335,[1]Planilha!$A$18:$BK$553,52,FALSE)</f>
        <v>#N/A</v>
      </c>
      <c r="M335" s="261" t="e">
        <f t="shared" si="285"/>
        <v>#N/A</v>
      </c>
      <c r="N335" s="187"/>
      <c r="O335" s="261" t="e">
        <f>VLOOKUP($A335,[1]Planilha!$A$18:$BK$553,60,FALSE)</f>
        <v>#N/A</v>
      </c>
      <c r="P335" s="261" t="e">
        <f t="shared" si="287"/>
        <v>#N/A</v>
      </c>
      <c r="Q335" s="186"/>
      <c r="R335" s="261" t="e">
        <f>VLOOKUP($A335,[1]Planilha!$A$18:$BK$553,51,FALSE)</f>
        <v>#N/A</v>
      </c>
      <c r="S335" s="261" t="e">
        <f t="shared" si="288"/>
        <v>#N/A</v>
      </c>
      <c r="T335" s="187"/>
      <c r="U335" s="261" t="e">
        <f>VLOOKUP($A335,[1]Planilha!$A$18:$BK$553,59,FALSE)</f>
        <v>#N/A</v>
      </c>
      <c r="V335" s="261" t="e">
        <f t="shared" si="289"/>
        <v>#N/A</v>
      </c>
      <c r="W335" s="186"/>
      <c r="X335" s="261" t="e">
        <f>VLOOKUP($A335,[1]Planilha!$A$18:$BK$553,50,FALSE)</f>
        <v>#N/A</v>
      </c>
      <c r="Y335" s="261" t="e">
        <f t="shared" si="291"/>
        <v>#N/A</v>
      </c>
      <c r="Z335" s="187"/>
      <c r="AA335" s="261" t="e">
        <f>VLOOKUP($A335,[1]Planilha!$A$18:$BK$553,58,FALSE)</f>
        <v>#N/A</v>
      </c>
      <c r="AB335" s="261" t="e">
        <f t="shared" si="293"/>
        <v>#N/A</v>
      </c>
      <c r="AC335" s="186"/>
      <c r="AD335" s="261" t="e">
        <f>VLOOKUP($A335,[1]Planilha!$A$18:$BK$553,49,FALSE)</f>
        <v>#N/A</v>
      </c>
      <c r="AE335" s="261" t="e">
        <f t="shared" si="295"/>
        <v>#N/A</v>
      </c>
      <c r="AF335" s="190"/>
      <c r="AG335" s="261" t="e">
        <f>VLOOKUP($A335,[1]Planilha!$A$18:$BK$553,57,FALSE)</f>
        <v>#N/A</v>
      </c>
      <c r="AH335" s="261" t="e">
        <f t="shared" si="297"/>
        <v>#N/A</v>
      </c>
    </row>
    <row r="336" spans="1:34" s="124" customFormat="1">
      <c r="A336" s="232">
        <v>7891721000126</v>
      </c>
      <c r="B336" s="126" t="s">
        <v>15</v>
      </c>
      <c r="C336" s="123" t="s">
        <v>650</v>
      </c>
      <c r="D336" s="214" t="s">
        <v>287</v>
      </c>
      <c r="E336" s="273">
        <f t="shared" ref="E336:E340" si="298">ROUND(K336*1.028952,2)</f>
        <v>21.97</v>
      </c>
      <c r="F336" s="261">
        <f>VLOOKUP($A336,[1]Planilha!$A$18:$BK$553,54,FALSE)</f>
        <v>21.66</v>
      </c>
      <c r="G336" s="261">
        <f t="shared" si="282"/>
        <v>0.30999999999999872</v>
      </c>
      <c r="H336" s="273">
        <f>ROUND(E336/0.751296,2)</f>
        <v>29.24</v>
      </c>
      <c r="I336" s="261">
        <f>VLOOKUP($A336,[1]Planilha!$A$18:$BK$553,62,FALSE)</f>
        <v>29.24</v>
      </c>
      <c r="J336" s="261">
        <f t="shared" si="284"/>
        <v>0</v>
      </c>
      <c r="K336" s="267">
        <f>VLOOKUP(A336,[2]Plan1!$H$2:$J$279,3,FALSE)</f>
        <v>21.356297759163578</v>
      </c>
      <c r="L336" s="261">
        <f>VLOOKUP($A336,[1]Planilha!$A$18:$BK$553,52,FALSE)</f>
        <v>21.36</v>
      </c>
      <c r="M336" s="261">
        <f t="shared" si="285"/>
        <v>-3.7022408364215664E-3</v>
      </c>
      <c r="N336" s="273">
        <f t="shared" ref="N336:N340" si="299">ROUND(K336/0.750577,2)</f>
        <v>28.45</v>
      </c>
      <c r="O336" s="261">
        <f>VLOOKUP($A336,[1]Planilha!$A$18:$BK$553,60,FALSE)</f>
        <v>28.45</v>
      </c>
      <c r="P336" s="261">
        <f t="shared" si="287"/>
        <v>0</v>
      </c>
      <c r="Q336" s="273">
        <f t="shared" si="270"/>
        <v>21.21</v>
      </c>
      <c r="R336" s="261">
        <f>VLOOKUP($A336,[1]Planilha!$A$18:$BK$553,51,FALSE)</f>
        <v>21.21</v>
      </c>
      <c r="S336" s="261">
        <f t="shared" si="288"/>
        <v>0</v>
      </c>
      <c r="T336" s="273">
        <f t="shared" si="271"/>
        <v>28.26</v>
      </c>
      <c r="U336" s="261">
        <f>VLOOKUP($A336,[1]Planilha!$A$18:$BK$553,59,FALSE)</f>
        <v>28.26</v>
      </c>
      <c r="V336" s="261">
        <f t="shared" si="289"/>
        <v>0</v>
      </c>
      <c r="W336" s="273">
        <f>ROUND(K336*0.986128,2)</f>
        <v>21.06</v>
      </c>
      <c r="X336" s="261">
        <f>VLOOKUP($A336,[1]Planilha!$A$18:$BK$553,50,FALSE)</f>
        <v>21.06</v>
      </c>
      <c r="Y336" s="261">
        <f t="shared" si="291"/>
        <v>0</v>
      </c>
      <c r="Z336" s="273">
        <f>ROUND(W336/0.75023,2)</f>
        <v>28.07</v>
      </c>
      <c r="AA336" s="261">
        <f>VLOOKUP($A336,[1]Planilha!$A$18:$BK$553,58,FALSE)</f>
        <v>28.07</v>
      </c>
      <c r="AB336" s="261">
        <f t="shared" si="293"/>
        <v>0</v>
      </c>
      <c r="AC336" s="273">
        <f>ROUND(K336*0.922175,2)</f>
        <v>19.690000000000001</v>
      </c>
      <c r="AD336" s="261">
        <f>VLOOKUP($A336,[1]Planilha!$A$18:$BK$553,49,FALSE)</f>
        <v>19.690000000000001</v>
      </c>
      <c r="AE336" s="261">
        <f t="shared" si="295"/>
        <v>0</v>
      </c>
      <c r="AF336" s="274">
        <f>ROUND(AC336/0.748624,2)</f>
        <v>26.3</v>
      </c>
      <c r="AG336" s="261">
        <f>VLOOKUP($A336,[1]Planilha!$A$18:$BK$553,57,FALSE)</f>
        <v>26.3</v>
      </c>
      <c r="AH336" s="261">
        <f t="shared" si="297"/>
        <v>0</v>
      </c>
    </row>
    <row r="337" spans="1:34" s="124" customFormat="1">
      <c r="A337" s="232">
        <v>7891721001970</v>
      </c>
      <c r="B337" s="126" t="s">
        <v>16</v>
      </c>
      <c r="C337" s="121" t="s">
        <v>651</v>
      </c>
      <c r="D337" s="92" t="s">
        <v>288</v>
      </c>
      <c r="E337" s="267">
        <f t="shared" si="298"/>
        <v>27.06</v>
      </c>
      <c r="F337" s="261">
        <f>VLOOKUP($A337,[1]Planilha!$A$18:$BK$553,54,FALSE)</f>
        <v>26.68</v>
      </c>
      <c r="G337" s="261">
        <f t="shared" si="282"/>
        <v>0.37999999999999901</v>
      </c>
      <c r="H337" s="267">
        <f>ROUND(E337/0.751296,2)</f>
        <v>36.020000000000003</v>
      </c>
      <c r="I337" s="261">
        <f>VLOOKUP($A337,[1]Planilha!$A$18:$BK$553,62,FALSE)</f>
        <v>36.020000000000003</v>
      </c>
      <c r="J337" s="261">
        <f t="shared" si="284"/>
        <v>0</v>
      </c>
      <c r="K337" s="267">
        <f>VLOOKUP(A337,[2]Plan1!$H$2:$J$279,3,FALSE)</f>
        <v>26.302606874717359</v>
      </c>
      <c r="L337" s="261">
        <f>VLOOKUP($A337,[1]Planilha!$A$18:$BK$553,52,FALSE)</f>
        <v>26.3</v>
      </c>
      <c r="M337" s="261">
        <f t="shared" si="285"/>
        <v>2.6068747173582096E-3</v>
      </c>
      <c r="N337" s="267">
        <f t="shared" si="299"/>
        <v>35.04</v>
      </c>
      <c r="O337" s="261">
        <f>VLOOKUP($A337,[1]Planilha!$A$18:$BK$553,60,FALSE)</f>
        <v>35.04</v>
      </c>
      <c r="P337" s="261">
        <f t="shared" si="287"/>
        <v>0</v>
      </c>
      <c r="Q337" s="267">
        <f t="shared" si="270"/>
        <v>26.12</v>
      </c>
      <c r="R337" s="261">
        <f>VLOOKUP($A337,[1]Planilha!$A$18:$BK$553,51,FALSE)</f>
        <v>26.12</v>
      </c>
      <c r="S337" s="261">
        <f t="shared" si="288"/>
        <v>0</v>
      </c>
      <c r="T337" s="267">
        <f t="shared" si="271"/>
        <v>34.81</v>
      </c>
      <c r="U337" s="261">
        <f>VLOOKUP($A337,[1]Planilha!$A$18:$BK$553,59,FALSE)</f>
        <v>34.81</v>
      </c>
      <c r="V337" s="261">
        <f t="shared" si="289"/>
        <v>0</v>
      </c>
      <c r="W337" s="267">
        <f>ROUND(K337*0.986128,2)</f>
        <v>25.94</v>
      </c>
      <c r="X337" s="261">
        <f>VLOOKUP($A337,[1]Planilha!$A$18:$BK$553,50,FALSE)</f>
        <v>25.94</v>
      </c>
      <c r="Y337" s="261">
        <f t="shared" si="291"/>
        <v>0</v>
      </c>
      <c r="Z337" s="267">
        <f>ROUND(W337/0.75023,2)</f>
        <v>34.58</v>
      </c>
      <c r="AA337" s="261">
        <f>VLOOKUP($A337,[1]Planilha!$A$18:$BK$553,58,FALSE)</f>
        <v>34.58</v>
      </c>
      <c r="AB337" s="261">
        <f t="shared" si="293"/>
        <v>0</v>
      </c>
      <c r="AC337" s="267">
        <f>ROUND(K337*0.922175,2)</f>
        <v>24.26</v>
      </c>
      <c r="AD337" s="261">
        <f>VLOOKUP($A337,[1]Planilha!$A$18:$BK$553,49,FALSE)</f>
        <v>24.26</v>
      </c>
      <c r="AE337" s="261">
        <f t="shared" si="295"/>
        <v>0</v>
      </c>
      <c r="AF337" s="268">
        <f>ROUND(AC337/0.748624,2)</f>
        <v>32.409999999999997</v>
      </c>
      <c r="AG337" s="261">
        <f>VLOOKUP($A337,[1]Planilha!$A$18:$BK$553,57,FALSE)</f>
        <v>32.409999999999997</v>
      </c>
      <c r="AH337" s="261">
        <f t="shared" si="297"/>
        <v>0</v>
      </c>
    </row>
    <row r="338" spans="1:34" s="124" customFormat="1">
      <c r="A338" s="232">
        <v>7891721020940</v>
      </c>
      <c r="B338" s="126">
        <v>1008900900483</v>
      </c>
      <c r="C338" s="121" t="s">
        <v>647</v>
      </c>
      <c r="D338" s="92" t="s">
        <v>444</v>
      </c>
      <c r="E338" s="267">
        <f t="shared" si="298"/>
        <v>27.06</v>
      </c>
      <c r="F338" s="261">
        <f>VLOOKUP($A338,[1]Planilha!$A$18:$BK$553,54,FALSE)</f>
        <v>29.72</v>
      </c>
      <c r="G338" s="261">
        <f t="shared" si="282"/>
        <v>-2.66</v>
      </c>
      <c r="H338" s="267">
        <f>ROUND(E338/0.751296,2)</f>
        <v>36.020000000000003</v>
      </c>
      <c r="I338" s="261">
        <f>VLOOKUP($A338,[1]Planilha!$A$18:$BK$553,62,FALSE)</f>
        <v>40.130000000000003</v>
      </c>
      <c r="J338" s="261">
        <f t="shared" si="284"/>
        <v>-4.1099999999999994</v>
      </c>
      <c r="K338" s="267">
        <v>26.3</v>
      </c>
      <c r="L338" s="261">
        <f>VLOOKUP($A338,[1]Planilha!$A$18:$BK$553,52,FALSE)</f>
        <v>29.3</v>
      </c>
      <c r="M338" s="261">
        <f t="shared" si="285"/>
        <v>-3</v>
      </c>
      <c r="N338" s="267">
        <f>ROUND(K338/0.750577,2)</f>
        <v>35.04</v>
      </c>
      <c r="O338" s="261">
        <f>VLOOKUP($A338,[1]Planilha!$A$18:$BK$553,60,FALSE)</f>
        <v>39.04</v>
      </c>
      <c r="P338" s="261">
        <f t="shared" si="287"/>
        <v>-4</v>
      </c>
      <c r="Q338" s="267">
        <f t="shared" si="270"/>
        <v>26.12</v>
      </c>
      <c r="R338" s="261">
        <f>VLOOKUP($A338,[1]Planilha!$A$18:$BK$553,51,FALSE)</f>
        <v>29.1</v>
      </c>
      <c r="S338" s="261">
        <f t="shared" si="288"/>
        <v>-2.9800000000000004</v>
      </c>
      <c r="T338" s="267">
        <f t="shared" si="271"/>
        <v>34.81</v>
      </c>
      <c r="U338" s="261">
        <f>VLOOKUP($A338,[1]Planilha!$A$18:$BK$553,59,FALSE)</f>
        <v>38.78</v>
      </c>
      <c r="V338" s="261">
        <f t="shared" si="289"/>
        <v>-3.9699999999999989</v>
      </c>
      <c r="W338" s="267">
        <f>ROUND(K338*0.986128,2)</f>
        <v>25.94</v>
      </c>
      <c r="X338" s="261">
        <f>VLOOKUP($A338,[1]Planilha!$A$18:$BK$553,50,FALSE)</f>
        <v>28.89</v>
      </c>
      <c r="Y338" s="261">
        <f t="shared" si="291"/>
        <v>-2.9499999999999993</v>
      </c>
      <c r="Z338" s="267">
        <f>ROUND(W338/0.75023,2)</f>
        <v>34.58</v>
      </c>
      <c r="AA338" s="261">
        <f>VLOOKUP($A338,[1]Planilha!$A$18:$BK$553,58,FALSE)</f>
        <v>38.51</v>
      </c>
      <c r="AB338" s="261">
        <f t="shared" si="293"/>
        <v>-3.9299999999999997</v>
      </c>
      <c r="AC338" s="267">
        <f>ROUND(K338*0.922175,2)</f>
        <v>24.25</v>
      </c>
      <c r="AD338" s="261">
        <f>VLOOKUP($A338,[1]Planilha!$A$18:$BK$553,49,FALSE)</f>
        <v>27.02</v>
      </c>
      <c r="AE338" s="261">
        <f t="shared" si="295"/>
        <v>-2.7699999999999996</v>
      </c>
      <c r="AF338" s="268">
        <f>ROUND(AC338/0.748624,2)</f>
        <v>32.39</v>
      </c>
      <c r="AG338" s="261">
        <f>VLOOKUP($A338,[1]Planilha!$A$18:$BK$553,57,FALSE)</f>
        <v>36.090000000000003</v>
      </c>
      <c r="AH338" s="261">
        <f t="shared" si="297"/>
        <v>-3.7000000000000028</v>
      </c>
    </row>
    <row r="339" spans="1:34" s="124" customFormat="1">
      <c r="A339" s="232">
        <v>7891721020933</v>
      </c>
      <c r="B339" s="126">
        <v>1008900900513</v>
      </c>
      <c r="C339" s="121" t="s">
        <v>646</v>
      </c>
      <c r="D339" s="92" t="s">
        <v>445</v>
      </c>
      <c r="E339" s="267">
        <f t="shared" si="298"/>
        <v>30.56</v>
      </c>
      <c r="F339" s="261">
        <f>VLOOKUP($A339,[1]Planilha!$A$18:$BK$553,54,FALSE)</f>
        <v>29.72</v>
      </c>
      <c r="G339" s="261">
        <f t="shared" si="282"/>
        <v>0.83999999999999986</v>
      </c>
      <c r="H339" s="267">
        <f>ROUND(E339/0.751296,2)</f>
        <v>40.68</v>
      </c>
      <c r="I339" s="261">
        <f>VLOOKUP($A339,[1]Planilha!$A$18:$BK$553,62,FALSE)</f>
        <v>40.130000000000003</v>
      </c>
      <c r="J339" s="261">
        <f t="shared" si="284"/>
        <v>0.54999999999999716</v>
      </c>
      <c r="K339" s="267">
        <v>29.7</v>
      </c>
      <c r="L339" s="261">
        <f>VLOOKUP($A339,[1]Planilha!$A$18:$BK$553,52,FALSE)</f>
        <v>29.3</v>
      </c>
      <c r="M339" s="261">
        <f t="shared" si="285"/>
        <v>0.39999999999999858</v>
      </c>
      <c r="N339" s="267">
        <f>ROUND(K339/0.750577,2)</f>
        <v>39.57</v>
      </c>
      <c r="O339" s="261">
        <f>VLOOKUP($A339,[1]Planilha!$A$18:$BK$553,60,FALSE)</f>
        <v>39.04</v>
      </c>
      <c r="P339" s="261">
        <f t="shared" si="287"/>
        <v>0.53000000000000114</v>
      </c>
      <c r="Q339" s="267">
        <f t="shared" si="270"/>
        <v>29.49</v>
      </c>
      <c r="R339" s="261">
        <f>VLOOKUP($A339,[1]Planilha!$A$18:$BK$553,51,FALSE)</f>
        <v>29.1</v>
      </c>
      <c r="S339" s="261">
        <f t="shared" si="288"/>
        <v>0.38999999999999702</v>
      </c>
      <c r="T339" s="267">
        <f t="shared" si="271"/>
        <v>39.299999999999997</v>
      </c>
      <c r="U339" s="261">
        <f>VLOOKUP($A339,[1]Planilha!$A$18:$BK$553,59,FALSE)</f>
        <v>38.78</v>
      </c>
      <c r="V339" s="261">
        <f t="shared" si="289"/>
        <v>0.51999999999999602</v>
      </c>
      <c r="W339" s="267">
        <f>ROUND(K339*0.986128,2)</f>
        <v>29.29</v>
      </c>
      <c r="X339" s="261">
        <f>VLOOKUP($A339,[1]Planilha!$A$18:$BK$553,50,FALSE)</f>
        <v>28.89</v>
      </c>
      <c r="Y339" s="261">
        <f t="shared" si="291"/>
        <v>0.39999999999999858</v>
      </c>
      <c r="Z339" s="267">
        <f>ROUND(W339/0.75023,2)</f>
        <v>39.04</v>
      </c>
      <c r="AA339" s="261">
        <f>VLOOKUP($A339,[1]Planilha!$A$18:$BK$553,58,FALSE)</f>
        <v>38.51</v>
      </c>
      <c r="AB339" s="261">
        <f t="shared" si="293"/>
        <v>0.53000000000000114</v>
      </c>
      <c r="AC339" s="267">
        <f>ROUND(K339*0.922175,2)</f>
        <v>27.39</v>
      </c>
      <c r="AD339" s="261">
        <f>VLOOKUP($A339,[1]Planilha!$A$18:$BK$553,49,FALSE)</f>
        <v>27.02</v>
      </c>
      <c r="AE339" s="261">
        <f t="shared" si="295"/>
        <v>0.37000000000000099</v>
      </c>
      <c r="AF339" s="268">
        <f>ROUND(AC339/0.748624,2)</f>
        <v>36.590000000000003</v>
      </c>
      <c r="AG339" s="261">
        <f>VLOOKUP($A339,[1]Planilha!$A$18:$BK$553,57,FALSE)</f>
        <v>36.090000000000003</v>
      </c>
      <c r="AH339" s="261">
        <f t="shared" si="297"/>
        <v>0.5</v>
      </c>
    </row>
    <row r="340" spans="1:34" s="124" customFormat="1">
      <c r="A340" s="232">
        <v>7891721018893</v>
      </c>
      <c r="B340" s="126">
        <v>1008900900394</v>
      </c>
      <c r="C340" s="126" t="s">
        <v>443</v>
      </c>
      <c r="D340" s="125" t="s">
        <v>461</v>
      </c>
      <c r="E340" s="267">
        <f t="shared" si="298"/>
        <v>112.9</v>
      </c>
      <c r="F340" s="261">
        <f>VLOOKUP($A340,[1]Planilha!$A$18:$BK$553,54,FALSE)</f>
        <v>111.29</v>
      </c>
      <c r="G340" s="261">
        <f t="shared" si="282"/>
        <v>1.6099999999999994</v>
      </c>
      <c r="H340" s="267">
        <f>ROUND(E340/0.751296,2)</f>
        <v>150.27000000000001</v>
      </c>
      <c r="I340" s="261">
        <f>VLOOKUP($A340,[1]Planilha!$A$18:$BK$553,62,FALSE)</f>
        <v>150.27000000000001</v>
      </c>
      <c r="J340" s="261">
        <f t="shared" si="284"/>
        <v>0</v>
      </c>
      <c r="K340" s="267">
        <f>VLOOKUP(A340,[2]Plan1!$H$2:$J$279,3,FALSE)</f>
        <v>109.72089380301173</v>
      </c>
      <c r="L340" s="261">
        <f>VLOOKUP($A340,[1]Planilha!$A$18:$BK$553,52,FALSE)</f>
        <v>109.72</v>
      </c>
      <c r="M340" s="261">
        <f t="shared" si="285"/>
        <v>8.9380301173491716E-4</v>
      </c>
      <c r="N340" s="267">
        <f t="shared" si="299"/>
        <v>146.18</v>
      </c>
      <c r="O340" s="261">
        <f>VLOOKUP($A340,[1]Planilha!$A$18:$BK$553,60,FALSE)</f>
        <v>146.18</v>
      </c>
      <c r="P340" s="261">
        <f t="shared" si="287"/>
        <v>0</v>
      </c>
      <c r="Q340" s="267">
        <f t="shared" si="270"/>
        <v>108.95</v>
      </c>
      <c r="R340" s="261">
        <f>VLOOKUP($A340,[1]Planilha!$A$18:$BK$553,51,FALSE)</f>
        <v>108.95</v>
      </c>
      <c r="S340" s="261">
        <f t="shared" si="288"/>
        <v>0</v>
      </c>
      <c r="T340" s="267">
        <f t="shared" si="271"/>
        <v>145.19</v>
      </c>
      <c r="U340" s="261">
        <f>VLOOKUP($A340,[1]Planilha!$A$18:$BK$553,59,FALSE)</f>
        <v>145.19</v>
      </c>
      <c r="V340" s="261">
        <f t="shared" si="289"/>
        <v>0</v>
      </c>
      <c r="W340" s="267">
        <f>ROUND(K340*0.986128,2)</f>
        <v>108.2</v>
      </c>
      <c r="X340" s="261">
        <f>VLOOKUP($A340,[1]Planilha!$A$18:$BK$553,50,FALSE)</f>
        <v>108.2</v>
      </c>
      <c r="Y340" s="261">
        <f t="shared" si="291"/>
        <v>0</v>
      </c>
      <c r="Z340" s="267">
        <f>ROUND(W340/0.75023,2)</f>
        <v>144.22</v>
      </c>
      <c r="AA340" s="261">
        <f>VLOOKUP($A340,[1]Planilha!$A$18:$BK$553,58,FALSE)</f>
        <v>144.22</v>
      </c>
      <c r="AB340" s="261">
        <f t="shared" si="293"/>
        <v>0</v>
      </c>
      <c r="AC340" s="267">
        <f>ROUND(K340*0.922175,2)</f>
        <v>101.18</v>
      </c>
      <c r="AD340" s="261">
        <f>VLOOKUP($A340,[1]Planilha!$A$18:$BK$553,49,FALSE)</f>
        <v>101.18</v>
      </c>
      <c r="AE340" s="261">
        <f t="shared" si="295"/>
        <v>0</v>
      </c>
      <c r="AF340" s="268">
        <f>ROUND(AC340/0.748624,2)</f>
        <v>135.15</v>
      </c>
      <c r="AG340" s="261">
        <f>VLOOKUP($A340,[1]Planilha!$A$18:$BK$553,57,FALSE)</f>
        <v>135.15</v>
      </c>
      <c r="AH340" s="261">
        <f t="shared" si="297"/>
        <v>0</v>
      </c>
    </row>
    <row r="341" spans="1:34" s="124" customFormat="1" ht="13.5" thickBot="1">
      <c r="A341" s="407"/>
      <c r="B341" s="325"/>
      <c r="C341" s="118"/>
      <c r="D341" s="326" t="s">
        <v>317</v>
      </c>
      <c r="E341" s="327"/>
      <c r="F341" s="261" t="e">
        <f>VLOOKUP($A341,[1]Planilha!$A$18:$BK$553,54,FALSE)</f>
        <v>#N/A</v>
      </c>
      <c r="G341" s="261" t="e">
        <f t="shared" si="282"/>
        <v>#N/A</v>
      </c>
      <c r="H341" s="267">
        <f>ROUND(H340/25,2)</f>
        <v>6.01</v>
      </c>
      <c r="I341" s="261" t="e">
        <f>VLOOKUP($A341,[1]Planilha!$A$18:$BK$553,62,FALSE)</f>
        <v>#N/A</v>
      </c>
      <c r="J341" s="261" t="e">
        <f t="shared" si="284"/>
        <v>#N/A</v>
      </c>
      <c r="K341" s="267"/>
      <c r="L341" s="261" t="e">
        <f>VLOOKUP($A341,[1]Planilha!$A$18:$BK$553,52,FALSE)</f>
        <v>#N/A</v>
      </c>
      <c r="M341" s="261" t="e">
        <f t="shared" si="285"/>
        <v>#N/A</v>
      </c>
      <c r="N341" s="267">
        <f>ROUND(N340/25,2)</f>
        <v>5.85</v>
      </c>
      <c r="O341" s="261" t="e">
        <f>VLOOKUP($A341,[1]Planilha!$A$18:$BK$553,60,FALSE)</f>
        <v>#N/A</v>
      </c>
      <c r="P341" s="261" t="e">
        <f t="shared" si="287"/>
        <v>#N/A</v>
      </c>
      <c r="Q341" s="328"/>
      <c r="R341" s="261" t="e">
        <f>VLOOKUP($A341,[1]Planilha!$A$18:$BK$553,51,FALSE)</f>
        <v>#N/A</v>
      </c>
      <c r="S341" s="261" t="e">
        <f t="shared" si="288"/>
        <v>#N/A</v>
      </c>
      <c r="T341" s="267">
        <f>ROUND(T340/25,2)</f>
        <v>5.81</v>
      </c>
      <c r="U341" s="261" t="e">
        <f>VLOOKUP($A341,[1]Planilha!$A$18:$BK$553,59,FALSE)</f>
        <v>#N/A</v>
      </c>
      <c r="V341" s="261" t="e">
        <f t="shared" si="289"/>
        <v>#N/A</v>
      </c>
      <c r="W341" s="328"/>
      <c r="X341" s="261" t="e">
        <f>VLOOKUP($A341,[1]Planilha!$A$18:$BK$553,50,FALSE)</f>
        <v>#N/A</v>
      </c>
      <c r="Y341" s="261" t="e">
        <f t="shared" si="291"/>
        <v>#N/A</v>
      </c>
      <c r="Z341" s="267">
        <f>ROUND(Z340/25,2)</f>
        <v>5.77</v>
      </c>
      <c r="AA341" s="261" t="e">
        <f>VLOOKUP($A341,[1]Planilha!$A$18:$BK$553,58,FALSE)</f>
        <v>#N/A</v>
      </c>
      <c r="AB341" s="261" t="e">
        <f t="shared" si="293"/>
        <v>#N/A</v>
      </c>
      <c r="AC341" s="328"/>
      <c r="AD341" s="261" t="e">
        <f>VLOOKUP($A341,[1]Planilha!$A$18:$BK$553,49,FALSE)</f>
        <v>#N/A</v>
      </c>
      <c r="AE341" s="261" t="e">
        <f t="shared" si="295"/>
        <v>#N/A</v>
      </c>
      <c r="AF341" s="276">
        <f>ROUND(AF340/25,2)</f>
        <v>5.41</v>
      </c>
      <c r="AG341" s="261" t="e">
        <f>VLOOKUP($A341,[1]Planilha!$A$18:$BK$553,57,FALSE)</f>
        <v>#N/A</v>
      </c>
      <c r="AH341" s="261" t="e">
        <f t="shared" si="297"/>
        <v>#N/A</v>
      </c>
    </row>
    <row r="342" spans="1:34" s="124" customFormat="1" ht="15">
      <c r="A342" s="414"/>
      <c r="B342" s="105" t="s">
        <v>569</v>
      </c>
      <c r="C342" s="105"/>
      <c r="D342" s="106"/>
      <c r="E342" s="186"/>
      <c r="F342" s="261" t="e">
        <f>VLOOKUP($A342,[1]Planilha!$A$18:$BK$553,54,FALSE)</f>
        <v>#N/A</v>
      </c>
      <c r="G342" s="261" t="e">
        <f t="shared" si="282"/>
        <v>#N/A</v>
      </c>
      <c r="H342" s="187"/>
      <c r="I342" s="261" t="e">
        <f>VLOOKUP($A342,[1]Planilha!$A$18:$BK$553,62,FALSE)</f>
        <v>#N/A</v>
      </c>
      <c r="J342" s="261" t="e">
        <f t="shared" si="284"/>
        <v>#N/A</v>
      </c>
      <c r="K342" s="267"/>
      <c r="L342" s="261" t="e">
        <f>VLOOKUP($A342,[1]Planilha!$A$18:$BK$553,52,FALSE)</f>
        <v>#N/A</v>
      </c>
      <c r="M342" s="261" t="e">
        <f t="shared" si="285"/>
        <v>#N/A</v>
      </c>
      <c r="N342" s="187"/>
      <c r="O342" s="261" t="e">
        <f>VLOOKUP($A342,[1]Planilha!$A$18:$BK$553,60,FALSE)</f>
        <v>#N/A</v>
      </c>
      <c r="P342" s="261" t="e">
        <f t="shared" si="287"/>
        <v>#N/A</v>
      </c>
      <c r="Q342" s="186"/>
      <c r="R342" s="261" t="e">
        <f>VLOOKUP($A342,[1]Planilha!$A$18:$BK$553,51,FALSE)</f>
        <v>#N/A</v>
      </c>
      <c r="S342" s="261" t="e">
        <f t="shared" si="288"/>
        <v>#N/A</v>
      </c>
      <c r="T342" s="187"/>
      <c r="U342" s="261" t="e">
        <f>VLOOKUP($A342,[1]Planilha!$A$18:$BK$553,59,FALSE)</f>
        <v>#N/A</v>
      </c>
      <c r="V342" s="261" t="e">
        <f t="shared" si="289"/>
        <v>#N/A</v>
      </c>
      <c r="W342" s="186"/>
      <c r="X342" s="261" t="e">
        <f>VLOOKUP($A342,[1]Planilha!$A$18:$BK$553,50,FALSE)</f>
        <v>#N/A</v>
      </c>
      <c r="Y342" s="261" t="e">
        <f t="shared" si="291"/>
        <v>#N/A</v>
      </c>
      <c r="Z342" s="187"/>
      <c r="AA342" s="261" t="e">
        <f>VLOOKUP($A342,[1]Planilha!$A$18:$BK$553,58,FALSE)</f>
        <v>#N/A</v>
      </c>
      <c r="AB342" s="261" t="e">
        <f t="shared" si="293"/>
        <v>#N/A</v>
      </c>
      <c r="AC342" s="186"/>
      <c r="AD342" s="261" t="e">
        <f>VLOOKUP($A342,[1]Planilha!$A$18:$BK$553,49,FALSE)</f>
        <v>#N/A</v>
      </c>
      <c r="AE342" s="261" t="e">
        <f t="shared" si="295"/>
        <v>#N/A</v>
      </c>
      <c r="AF342" s="190"/>
      <c r="AG342" s="261" t="e">
        <f>VLOOKUP($A342,[1]Planilha!$A$18:$BK$553,57,FALSE)</f>
        <v>#N/A</v>
      </c>
      <c r="AH342" s="261" t="e">
        <f t="shared" si="297"/>
        <v>#N/A</v>
      </c>
    </row>
    <row r="343" spans="1:34" s="124" customFormat="1">
      <c r="A343" s="232">
        <v>7891721019067</v>
      </c>
      <c r="B343" s="126">
        <v>1008900900459</v>
      </c>
      <c r="C343" s="123" t="s">
        <v>652</v>
      </c>
      <c r="D343" s="214" t="s">
        <v>570</v>
      </c>
      <c r="E343" s="273">
        <f t="shared" ref="E343:E346" si="300">ROUND(K343*1.028952,2)</f>
        <v>32.69</v>
      </c>
      <c r="F343" s="261">
        <f>VLOOKUP($A343,[1]Planilha!$A$18:$BK$553,54,FALSE)</f>
        <v>32.22</v>
      </c>
      <c r="G343" s="261">
        <f t="shared" si="282"/>
        <v>0.46999999999999886</v>
      </c>
      <c r="H343" s="273">
        <f>ROUND(E343/0.751296,2)</f>
        <v>43.51</v>
      </c>
      <c r="I343" s="261">
        <f>VLOOKUP($A343,[1]Planilha!$A$18:$BK$553,62,FALSE)</f>
        <v>43.5</v>
      </c>
      <c r="J343" s="261">
        <f t="shared" si="284"/>
        <v>9.9999999999980105E-3</v>
      </c>
      <c r="K343" s="267">
        <f>VLOOKUP(A343,[2]Plan1!$H$2:$J$279,3,FALSE)</f>
        <v>31.765845836363859</v>
      </c>
      <c r="L343" s="261">
        <f>VLOOKUP($A343,[1]Planilha!$A$18:$BK$553,52,FALSE)</f>
        <v>31.77</v>
      </c>
      <c r="M343" s="261">
        <f t="shared" si="285"/>
        <v>-4.1541636361408507E-3</v>
      </c>
      <c r="N343" s="273">
        <f t="shared" ref="N343:N346" si="301">ROUND(K343/0.750577,2)</f>
        <v>42.32</v>
      </c>
      <c r="O343" s="261">
        <f>VLOOKUP($A343,[1]Planilha!$A$18:$BK$553,60,FALSE)</f>
        <v>42.32</v>
      </c>
      <c r="P343" s="261">
        <f t="shared" si="287"/>
        <v>0</v>
      </c>
      <c r="Q343" s="273">
        <f t="shared" ref="Q343:Q346" si="302">ROUND(K343*0.993015,2)</f>
        <v>31.54</v>
      </c>
      <c r="R343" s="261">
        <f>VLOOKUP($A343,[1]Planilha!$A$18:$BK$553,51,FALSE)</f>
        <v>31.54</v>
      </c>
      <c r="S343" s="261">
        <f t="shared" si="288"/>
        <v>0</v>
      </c>
      <c r="T343" s="273">
        <f t="shared" ref="T343:T346" si="303">ROUND(Q343/0.750402,2)</f>
        <v>42.03</v>
      </c>
      <c r="U343" s="261">
        <f>VLOOKUP($A343,[1]Planilha!$A$18:$BK$553,59,FALSE)</f>
        <v>42.03</v>
      </c>
      <c r="V343" s="261">
        <f t="shared" si="289"/>
        <v>0</v>
      </c>
      <c r="W343" s="485">
        <v>31.32</v>
      </c>
      <c r="X343" s="261">
        <f>VLOOKUP($A343,[1]Planilha!$A$18:$BK$553,50,FALSE)</f>
        <v>31.32</v>
      </c>
      <c r="Y343" s="261">
        <f t="shared" si="291"/>
        <v>0</v>
      </c>
      <c r="Z343" s="273">
        <f t="shared" ref="Z343:Z346" si="304">ROUND(W343/0.75023,2)</f>
        <v>41.75</v>
      </c>
      <c r="AA343" s="261">
        <f>VLOOKUP($A343,[1]Planilha!$A$18:$BK$553,58,FALSE)</f>
        <v>41.75</v>
      </c>
      <c r="AB343" s="261">
        <f t="shared" si="293"/>
        <v>0</v>
      </c>
      <c r="AC343" s="273">
        <f t="shared" ref="AC343:AC346" si="305">ROUND(K343*0.922175,2)</f>
        <v>29.29</v>
      </c>
      <c r="AD343" s="261">
        <f>VLOOKUP($A343,[1]Planilha!$A$18:$BK$553,49,FALSE)</f>
        <v>29.29</v>
      </c>
      <c r="AE343" s="261">
        <f t="shared" si="295"/>
        <v>0</v>
      </c>
      <c r="AF343" s="274">
        <f t="shared" ref="AF343:AF346" si="306">ROUND(AC343/0.748624,2)</f>
        <v>39.130000000000003</v>
      </c>
      <c r="AG343" s="261">
        <f>VLOOKUP($A343,[1]Planilha!$A$18:$BK$553,57,FALSE)</f>
        <v>39.130000000000003</v>
      </c>
      <c r="AH343" s="261">
        <f t="shared" si="297"/>
        <v>0</v>
      </c>
    </row>
    <row r="344" spans="1:34" s="124" customFormat="1">
      <c r="A344" s="232">
        <v>7891721019074</v>
      </c>
      <c r="B344" s="126">
        <v>1008900900467</v>
      </c>
      <c r="C344" s="121" t="s">
        <v>653</v>
      </c>
      <c r="D344" s="92" t="s">
        <v>571</v>
      </c>
      <c r="E344" s="267">
        <f t="shared" si="300"/>
        <v>65.34</v>
      </c>
      <c r="F344" s="261">
        <f>VLOOKUP($A344,[1]Planilha!$A$18:$BK$553,54,FALSE)</f>
        <v>64.41</v>
      </c>
      <c r="G344" s="261">
        <f t="shared" si="282"/>
        <v>0.93000000000000682</v>
      </c>
      <c r="H344" s="267">
        <f>ROUND(E344/0.751296,2)</f>
        <v>86.97</v>
      </c>
      <c r="I344" s="261">
        <f>VLOOKUP($A344,[1]Planilha!$A$18:$BK$553,62,FALSE)</f>
        <v>86.97</v>
      </c>
      <c r="J344" s="261">
        <f t="shared" si="284"/>
        <v>0</v>
      </c>
      <c r="K344" s="267">
        <f>VLOOKUP(A344,[2]Plan1!$H$2:$J$279,3,FALSE)</f>
        <v>63.501284034722261</v>
      </c>
      <c r="L344" s="261">
        <f>VLOOKUP($A344,[1]Planilha!$A$18:$BK$553,52,FALSE)</f>
        <v>63.5</v>
      </c>
      <c r="M344" s="261">
        <f t="shared" si="285"/>
        <v>1.2840347222606852E-3</v>
      </c>
      <c r="N344" s="267">
        <f t="shared" si="301"/>
        <v>84.6</v>
      </c>
      <c r="O344" s="261">
        <f>VLOOKUP($A344,[1]Planilha!$A$18:$BK$553,60,FALSE)</f>
        <v>84.6</v>
      </c>
      <c r="P344" s="261">
        <f t="shared" si="287"/>
        <v>0</v>
      </c>
      <c r="Q344" s="267">
        <f t="shared" si="302"/>
        <v>63.06</v>
      </c>
      <c r="R344" s="261">
        <f>VLOOKUP($A344,[1]Planilha!$A$18:$BK$553,51,FALSE)</f>
        <v>63.06</v>
      </c>
      <c r="S344" s="261">
        <f t="shared" si="288"/>
        <v>0</v>
      </c>
      <c r="T344" s="267">
        <f t="shared" si="303"/>
        <v>84.03</v>
      </c>
      <c r="U344" s="261">
        <f>VLOOKUP($A344,[1]Planilha!$A$18:$BK$553,59,FALSE)</f>
        <v>84.03</v>
      </c>
      <c r="V344" s="261">
        <f t="shared" si="289"/>
        <v>0</v>
      </c>
      <c r="W344" s="267">
        <f t="shared" ref="W344:W346" si="307">ROUND(K344*0.986128,2)</f>
        <v>62.62</v>
      </c>
      <c r="X344" s="261">
        <f>VLOOKUP($A344,[1]Planilha!$A$18:$BK$553,50,FALSE)</f>
        <v>62.62</v>
      </c>
      <c r="Y344" s="261">
        <f t="shared" si="291"/>
        <v>0</v>
      </c>
      <c r="Z344" s="267">
        <f t="shared" si="304"/>
        <v>83.47</v>
      </c>
      <c r="AA344" s="261">
        <f>VLOOKUP($A344,[1]Planilha!$A$18:$BK$553,58,FALSE)</f>
        <v>83.47</v>
      </c>
      <c r="AB344" s="261">
        <f t="shared" si="293"/>
        <v>0</v>
      </c>
      <c r="AC344" s="267">
        <f t="shared" si="305"/>
        <v>58.56</v>
      </c>
      <c r="AD344" s="261">
        <f>VLOOKUP($A344,[1]Planilha!$A$18:$BK$553,49,FALSE)</f>
        <v>58.56</v>
      </c>
      <c r="AE344" s="261">
        <f t="shared" si="295"/>
        <v>0</v>
      </c>
      <c r="AF344" s="268">
        <f t="shared" si="306"/>
        <v>78.22</v>
      </c>
      <c r="AG344" s="261">
        <f>VLOOKUP($A344,[1]Planilha!$A$18:$BK$553,57,FALSE)</f>
        <v>78.22</v>
      </c>
      <c r="AH344" s="261">
        <f t="shared" si="297"/>
        <v>0</v>
      </c>
    </row>
    <row r="345" spans="1:34" s="124" customFormat="1">
      <c r="A345" s="232">
        <v>7891721021046</v>
      </c>
      <c r="B345" s="126">
        <v>1008900900637</v>
      </c>
      <c r="C345" s="121" t="s">
        <v>649</v>
      </c>
      <c r="D345" s="92" t="s">
        <v>572</v>
      </c>
      <c r="E345" s="267">
        <f t="shared" si="300"/>
        <v>34.340000000000003</v>
      </c>
      <c r="F345" s="261">
        <f>VLOOKUP($A345,[1]Planilha!$A$18:$BK$553,54,FALSE)</f>
        <v>33.85</v>
      </c>
      <c r="G345" s="261">
        <f t="shared" si="282"/>
        <v>0.49000000000000199</v>
      </c>
      <c r="H345" s="267">
        <f>ROUND(E345/0.751296,2)</f>
        <v>45.71</v>
      </c>
      <c r="I345" s="261">
        <f>VLOOKUP($A345,[1]Planilha!$A$18:$BK$553,62,FALSE)</f>
        <v>45.71</v>
      </c>
      <c r="J345" s="261">
        <f t="shared" si="284"/>
        <v>0</v>
      </c>
      <c r="K345" s="267">
        <f>VLOOKUP(A345,[2]Plan1!$H$2:$J$279,3,FALSE)</f>
        <v>33.377450650652897</v>
      </c>
      <c r="L345" s="261">
        <f>VLOOKUP($A345,[1]Planilha!$A$18:$BK$553,52,FALSE)</f>
        <v>33.380000000000003</v>
      </c>
      <c r="M345" s="261">
        <f t="shared" si="285"/>
        <v>-2.5493493471060447E-3</v>
      </c>
      <c r="N345" s="267">
        <f t="shared" si="301"/>
        <v>44.47</v>
      </c>
      <c r="O345" s="261">
        <f>VLOOKUP($A345,[1]Planilha!$A$18:$BK$553,60,FALSE)</f>
        <v>44.47</v>
      </c>
      <c r="P345" s="261">
        <f t="shared" si="287"/>
        <v>0</v>
      </c>
      <c r="Q345" s="267">
        <f t="shared" si="302"/>
        <v>33.14</v>
      </c>
      <c r="R345" s="261">
        <f>VLOOKUP($A345,[1]Planilha!$A$18:$BK$553,51,FALSE)</f>
        <v>33.14</v>
      </c>
      <c r="S345" s="261">
        <f t="shared" si="288"/>
        <v>0</v>
      </c>
      <c r="T345" s="267">
        <f t="shared" si="303"/>
        <v>44.16</v>
      </c>
      <c r="U345" s="261">
        <f>VLOOKUP($A345,[1]Planilha!$A$18:$BK$553,59,FALSE)</f>
        <v>44.16</v>
      </c>
      <c r="V345" s="261">
        <f t="shared" si="289"/>
        <v>0</v>
      </c>
      <c r="W345" s="267">
        <f t="shared" si="307"/>
        <v>32.909999999999997</v>
      </c>
      <c r="X345" s="261">
        <f>VLOOKUP($A345,[1]Planilha!$A$18:$BK$553,50,FALSE)</f>
        <v>32.909999999999997</v>
      </c>
      <c r="Y345" s="261">
        <f t="shared" si="291"/>
        <v>0</v>
      </c>
      <c r="Z345" s="267">
        <f t="shared" si="304"/>
        <v>43.87</v>
      </c>
      <c r="AA345" s="261">
        <f>VLOOKUP($A345,[1]Planilha!$A$18:$BK$553,58,FALSE)</f>
        <v>43.87</v>
      </c>
      <c r="AB345" s="261">
        <f t="shared" si="293"/>
        <v>0</v>
      </c>
      <c r="AC345" s="267">
        <f t="shared" si="305"/>
        <v>30.78</v>
      </c>
      <c r="AD345" s="261">
        <f>VLOOKUP($A345,[1]Planilha!$A$18:$BK$553,49,FALSE)</f>
        <v>30.78</v>
      </c>
      <c r="AE345" s="261">
        <f t="shared" si="295"/>
        <v>0</v>
      </c>
      <c r="AF345" s="268">
        <f t="shared" si="306"/>
        <v>41.12</v>
      </c>
      <c r="AG345" s="261">
        <f>VLOOKUP($A345,[1]Planilha!$A$18:$BK$553,57,FALSE)</f>
        <v>41.12</v>
      </c>
      <c r="AH345" s="261">
        <f t="shared" si="297"/>
        <v>0</v>
      </c>
    </row>
    <row r="346" spans="1:34" s="124" customFormat="1" ht="13.5" thickBot="1">
      <c r="A346" s="696">
        <v>7891721021039</v>
      </c>
      <c r="B346" s="147">
        <v>1008900900645</v>
      </c>
      <c r="C346" s="211" t="s">
        <v>648</v>
      </c>
      <c r="D346" s="92" t="s">
        <v>573</v>
      </c>
      <c r="E346" s="269">
        <f t="shared" si="300"/>
        <v>68.7</v>
      </c>
      <c r="F346" s="261">
        <f>VLOOKUP($A346,[1]Planilha!$A$18:$BK$553,54,FALSE)</f>
        <v>67.72</v>
      </c>
      <c r="G346" s="261">
        <f t="shared" si="282"/>
        <v>0.98000000000000398</v>
      </c>
      <c r="H346" s="269">
        <f>ROUND(E346/0.751296,2)</f>
        <v>91.44</v>
      </c>
      <c r="I346" s="261">
        <f>VLOOKUP($A346,[1]Planilha!$A$18:$BK$553,62,FALSE)</f>
        <v>91.44</v>
      </c>
      <c r="J346" s="261">
        <f t="shared" si="284"/>
        <v>0</v>
      </c>
      <c r="K346" s="267">
        <f>VLOOKUP(A346,[2]Plan1!$H$2:$J$279,3,FALSE)</f>
        <v>66.765037180640945</v>
      </c>
      <c r="L346" s="261">
        <f>VLOOKUP($A346,[1]Planilha!$A$18:$BK$553,52,FALSE)</f>
        <v>66.77</v>
      </c>
      <c r="M346" s="261">
        <f t="shared" si="285"/>
        <v>-4.9628193590507408E-3</v>
      </c>
      <c r="N346" s="269">
        <f t="shared" si="301"/>
        <v>88.95</v>
      </c>
      <c r="O346" s="261">
        <f>VLOOKUP($A346,[1]Planilha!$A$18:$BK$553,60,FALSE)</f>
        <v>88.95</v>
      </c>
      <c r="P346" s="261">
        <f t="shared" si="287"/>
        <v>0</v>
      </c>
      <c r="Q346" s="269">
        <f t="shared" si="302"/>
        <v>66.3</v>
      </c>
      <c r="R346" s="261">
        <f>VLOOKUP($A346,[1]Planilha!$A$18:$BK$553,51,FALSE)</f>
        <v>66.3</v>
      </c>
      <c r="S346" s="261">
        <f t="shared" si="288"/>
        <v>0</v>
      </c>
      <c r="T346" s="269">
        <f t="shared" si="303"/>
        <v>88.35</v>
      </c>
      <c r="U346" s="261">
        <f>VLOOKUP($A346,[1]Planilha!$A$18:$BK$553,59,FALSE)</f>
        <v>88.35</v>
      </c>
      <c r="V346" s="261">
        <f t="shared" si="289"/>
        <v>0</v>
      </c>
      <c r="W346" s="269">
        <f t="shared" si="307"/>
        <v>65.84</v>
      </c>
      <c r="X346" s="261">
        <f>VLOOKUP($A346,[1]Planilha!$A$18:$BK$553,50,FALSE)</f>
        <v>65.84</v>
      </c>
      <c r="Y346" s="261">
        <f t="shared" si="291"/>
        <v>0</v>
      </c>
      <c r="Z346" s="269">
        <f t="shared" si="304"/>
        <v>87.76</v>
      </c>
      <c r="AA346" s="261">
        <f>VLOOKUP($A346,[1]Planilha!$A$18:$BK$553,58,FALSE)</f>
        <v>87.76</v>
      </c>
      <c r="AB346" s="261">
        <f t="shared" si="293"/>
        <v>0</v>
      </c>
      <c r="AC346" s="269">
        <f t="shared" si="305"/>
        <v>61.57</v>
      </c>
      <c r="AD346" s="261">
        <f>VLOOKUP($A346,[1]Planilha!$A$18:$BK$553,49,FALSE)</f>
        <v>61.57</v>
      </c>
      <c r="AE346" s="261">
        <f t="shared" si="295"/>
        <v>0</v>
      </c>
      <c r="AF346" s="270">
        <f t="shared" si="306"/>
        <v>82.24</v>
      </c>
      <c r="AG346" s="261">
        <f>VLOOKUP($A346,[1]Planilha!$A$18:$BK$553,57,FALSE)</f>
        <v>82.24</v>
      </c>
      <c r="AH346" s="261">
        <f t="shared" si="297"/>
        <v>0</v>
      </c>
    </row>
    <row r="347" spans="1:34" s="124" customFormat="1" ht="13.5" thickBot="1">
      <c r="A347" s="679"/>
      <c r="B347" s="170"/>
      <c r="C347" s="170"/>
      <c r="D347" s="171"/>
      <c r="E347" s="235"/>
      <c r="F347" s="261" t="e">
        <f>VLOOKUP($A347,[1]Planilha!$A$18:$BK$553,54,FALSE)</f>
        <v>#N/A</v>
      </c>
      <c r="G347" s="261" t="e">
        <f t="shared" si="282"/>
        <v>#N/A</v>
      </c>
      <c r="H347" s="236"/>
      <c r="I347" s="261" t="e">
        <f>VLOOKUP($A347,[1]Planilha!$A$18:$BK$553,62,FALSE)</f>
        <v>#N/A</v>
      </c>
      <c r="J347" s="261" t="e">
        <f t="shared" si="284"/>
        <v>#N/A</v>
      </c>
      <c r="K347" s="237"/>
      <c r="L347" s="261" t="e">
        <f>VLOOKUP($A347,[1]Planilha!$A$18:$BK$553,52,FALSE)</f>
        <v>#N/A</v>
      </c>
      <c r="M347" s="261" t="e">
        <f t="shared" si="285"/>
        <v>#N/A</v>
      </c>
      <c r="N347" s="236"/>
      <c r="O347" s="261" t="e">
        <f>VLOOKUP($A347,[1]Planilha!$A$18:$BK$553,60,FALSE)</f>
        <v>#N/A</v>
      </c>
      <c r="P347" s="261" t="e">
        <f t="shared" si="287"/>
        <v>#N/A</v>
      </c>
      <c r="Q347" s="238"/>
      <c r="R347" s="261" t="e">
        <f>VLOOKUP($A347,[1]Planilha!$A$18:$BK$553,51,FALSE)</f>
        <v>#N/A</v>
      </c>
      <c r="S347" s="261" t="e">
        <f t="shared" si="288"/>
        <v>#N/A</v>
      </c>
      <c r="T347" s="236"/>
      <c r="U347" s="261" t="e">
        <f>VLOOKUP($A347,[1]Planilha!$A$18:$BK$553,59,FALSE)</f>
        <v>#N/A</v>
      </c>
      <c r="V347" s="261" t="e">
        <f t="shared" si="289"/>
        <v>#N/A</v>
      </c>
      <c r="W347" s="238"/>
      <c r="X347" s="261" t="e">
        <f>VLOOKUP($A347,[1]Planilha!$A$18:$BK$553,50,FALSE)</f>
        <v>#N/A</v>
      </c>
      <c r="Y347" s="261" t="e">
        <f t="shared" si="291"/>
        <v>#N/A</v>
      </c>
      <c r="Z347" s="236"/>
      <c r="AA347" s="261" t="e">
        <f>VLOOKUP($A347,[1]Planilha!$A$18:$BK$553,58,FALSE)</f>
        <v>#N/A</v>
      </c>
      <c r="AB347" s="261" t="e">
        <f t="shared" si="293"/>
        <v>#N/A</v>
      </c>
      <c r="AC347" s="238"/>
      <c r="AD347" s="261" t="e">
        <f>VLOOKUP($A347,[1]Planilha!$A$18:$BK$553,49,FALSE)</f>
        <v>#N/A</v>
      </c>
      <c r="AE347" s="261" t="e">
        <f t="shared" si="295"/>
        <v>#N/A</v>
      </c>
      <c r="AF347" s="239"/>
      <c r="AG347" s="261" t="e">
        <f>VLOOKUP($A347,[1]Planilha!$A$18:$BK$553,57,FALSE)</f>
        <v>#N/A</v>
      </c>
      <c r="AH347" s="261" t="e">
        <f t="shared" si="297"/>
        <v>#N/A</v>
      </c>
    </row>
    <row r="348" spans="1:34" s="124" customFormat="1" ht="18.75" customHeight="1" thickBot="1">
      <c r="A348" s="680" t="s">
        <v>295</v>
      </c>
      <c r="B348" s="451" t="s">
        <v>294</v>
      </c>
      <c r="C348" s="452"/>
      <c r="D348" s="453"/>
      <c r="E348" s="454" t="s">
        <v>741</v>
      </c>
      <c r="F348" s="261" t="e">
        <f>VLOOKUP($A348,[1]Planilha!$A$18:$BK$553,54,FALSE)</f>
        <v>#N/A</v>
      </c>
      <c r="G348" s="261" t="e">
        <f t="shared" si="282"/>
        <v>#VALUE!</v>
      </c>
      <c r="H348" s="455"/>
      <c r="I348" s="261" t="e">
        <f>VLOOKUP($A348,[1]Planilha!$A$18:$BK$553,62,FALSE)</f>
        <v>#N/A</v>
      </c>
      <c r="J348" s="261" t="e">
        <f t="shared" si="284"/>
        <v>#N/A</v>
      </c>
      <c r="K348" s="454" t="s">
        <v>292</v>
      </c>
      <c r="L348" s="261" t="e">
        <f>VLOOKUP($A348,[1]Planilha!$A$18:$BK$553,52,FALSE)</f>
        <v>#N/A</v>
      </c>
      <c r="M348" s="261" t="e">
        <f t="shared" si="285"/>
        <v>#VALUE!</v>
      </c>
      <c r="N348" s="455"/>
      <c r="O348" s="261" t="e">
        <f>VLOOKUP($A348,[1]Planilha!$A$18:$BK$553,60,FALSE)</f>
        <v>#N/A</v>
      </c>
      <c r="P348" s="261" t="e">
        <f t="shared" si="287"/>
        <v>#N/A</v>
      </c>
      <c r="Q348" s="456" t="s">
        <v>740</v>
      </c>
      <c r="R348" s="261" t="e">
        <f>VLOOKUP($A348,[1]Planilha!$A$18:$BK$553,51,FALSE)</f>
        <v>#N/A</v>
      </c>
      <c r="S348" s="261" t="e">
        <f t="shared" si="288"/>
        <v>#VALUE!</v>
      </c>
      <c r="T348" s="455"/>
      <c r="U348" s="261" t="e">
        <f>VLOOKUP($A348,[1]Planilha!$A$18:$BK$553,59,FALSE)</f>
        <v>#N/A</v>
      </c>
      <c r="V348" s="261" t="e">
        <f t="shared" si="289"/>
        <v>#N/A</v>
      </c>
      <c r="W348" s="456" t="s">
        <v>293</v>
      </c>
      <c r="X348" s="261" t="e">
        <f>VLOOKUP($A348,[1]Planilha!$A$18:$BK$553,50,FALSE)</f>
        <v>#N/A</v>
      </c>
      <c r="Y348" s="261" t="e">
        <f t="shared" si="291"/>
        <v>#VALUE!</v>
      </c>
      <c r="Z348" s="455"/>
      <c r="AA348" s="261" t="e">
        <f>VLOOKUP($A348,[1]Planilha!$A$18:$BK$553,58,FALSE)</f>
        <v>#N/A</v>
      </c>
      <c r="AB348" s="261" t="e">
        <f t="shared" si="293"/>
        <v>#N/A</v>
      </c>
      <c r="AC348" s="456" t="s">
        <v>322</v>
      </c>
      <c r="AD348" s="261" t="e">
        <f>VLOOKUP($A348,[1]Planilha!$A$18:$BK$553,49,FALSE)</f>
        <v>#N/A</v>
      </c>
      <c r="AE348" s="261" t="e">
        <f t="shared" si="295"/>
        <v>#VALUE!</v>
      </c>
      <c r="AF348" s="459"/>
      <c r="AG348" s="261" t="e">
        <f>VLOOKUP($A348,[1]Planilha!$A$18:$BK$553,57,FALSE)</f>
        <v>#N/A</v>
      </c>
      <c r="AH348" s="261" t="e">
        <f t="shared" si="297"/>
        <v>#N/A</v>
      </c>
    </row>
    <row r="349" spans="1:34" s="124" customFormat="1" ht="12.75" customHeight="1">
      <c r="A349" s="449" t="s">
        <v>296</v>
      </c>
      <c r="B349" s="115" t="s">
        <v>13</v>
      </c>
      <c r="C349" s="119" t="s">
        <v>83</v>
      </c>
      <c r="D349" s="101"/>
      <c r="E349" s="254" t="s">
        <v>81</v>
      </c>
      <c r="F349" s="261" t="e">
        <f>VLOOKUP($A349,[1]Planilha!$A$18:$BK$553,54,FALSE)</f>
        <v>#N/A</v>
      </c>
      <c r="G349" s="261" t="e">
        <f t="shared" si="282"/>
        <v>#VALUE!</v>
      </c>
      <c r="H349" s="255" t="s">
        <v>82</v>
      </c>
      <c r="I349" s="261" t="e">
        <f>VLOOKUP($A349,[1]Planilha!$A$18:$BK$553,62,FALSE)</f>
        <v>#N/A</v>
      </c>
      <c r="J349" s="261" t="e">
        <f t="shared" si="284"/>
        <v>#VALUE!</v>
      </c>
      <c r="K349" s="254" t="s">
        <v>81</v>
      </c>
      <c r="L349" s="261" t="e">
        <f>VLOOKUP($A349,[1]Planilha!$A$18:$BK$553,52,FALSE)</f>
        <v>#N/A</v>
      </c>
      <c r="M349" s="261" t="e">
        <f t="shared" si="285"/>
        <v>#VALUE!</v>
      </c>
      <c r="N349" s="255" t="s">
        <v>82</v>
      </c>
      <c r="O349" s="261" t="e">
        <f>VLOOKUP($A349,[1]Planilha!$A$18:$BK$553,60,FALSE)</f>
        <v>#N/A</v>
      </c>
      <c r="P349" s="261" t="e">
        <f t="shared" si="287"/>
        <v>#VALUE!</v>
      </c>
      <c r="Q349" s="254" t="s">
        <v>81</v>
      </c>
      <c r="R349" s="261" t="e">
        <f>VLOOKUP($A349,[1]Planilha!$A$18:$BK$553,51,FALSE)</f>
        <v>#N/A</v>
      </c>
      <c r="S349" s="261" t="e">
        <f t="shared" si="288"/>
        <v>#VALUE!</v>
      </c>
      <c r="T349" s="255" t="s">
        <v>82</v>
      </c>
      <c r="U349" s="261" t="e">
        <f>VLOOKUP($A349,[1]Planilha!$A$18:$BK$553,59,FALSE)</f>
        <v>#N/A</v>
      </c>
      <c r="V349" s="261" t="e">
        <f t="shared" si="289"/>
        <v>#VALUE!</v>
      </c>
      <c r="W349" s="254" t="s">
        <v>81</v>
      </c>
      <c r="X349" s="261" t="e">
        <f>VLOOKUP($A349,[1]Planilha!$A$18:$BK$553,50,FALSE)</f>
        <v>#N/A</v>
      </c>
      <c r="Y349" s="261" t="e">
        <f t="shared" si="291"/>
        <v>#VALUE!</v>
      </c>
      <c r="Z349" s="255" t="s">
        <v>82</v>
      </c>
      <c r="AA349" s="261" t="e">
        <f>VLOOKUP($A349,[1]Planilha!$A$18:$BK$553,58,FALSE)</f>
        <v>#N/A</v>
      </c>
      <c r="AB349" s="261" t="e">
        <f t="shared" si="293"/>
        <v>#VALUE!</v>
      </c>
      <c r="AC349" s="254" t="s">
        <v>81</v>
      </c>
      <c r="AD349" s="261" t="e">
        <f>VLOOKUP($A349,[1]Planilha!$A$18:$BK$553,49,FALSE)</f>
        <v>#N/A</v>
      </c>
      <c r="AE349" s="261" t="e">
        <f t="shared" si="295"/>
        <v>#VALUE!</v>
      </c>
      <c r="AF349" s="256" t="s">
        <v>82</v>
      </c>
      <c r="AG349" s="261" t="e">
        <f>VLOOKUP($A349,[1]Planilha!$A$18:$BK$553,57,FALSE)</f>
        <v>#N/A</v>
      </c>
      <c r="AH349" s="261" t="e">
        <f t="shared" si="297"/>
        <v>#VALUE!</v>
      </c>
    </row>
    <row r="350" spans="1:34" s="124" customFormat="1" ht="13.5" customHeight="1" thickBot="1">
      <c r="A350" s="450"/>
      <c r="B350" s="155" t="s">
        <v>14</v>
      </c>
      <c r="C350" s="156" t="s">
        <v>379</v>
      </c>
      <c r="D350" s="157" t="s">
        <v>84</v>
      </c>
      <c r="E350" s="257" t="s">
        <v>85</v>
      </c>
      <c r="F350" s="261" t="e">
        <f>VLOOKUP($A350,[1]Planilha!$A$18:$BK$553,54,FALSE)</f>
        <v>#N/A</v>
      </c>
      <c r="G350" s="261" t="e">
        <f t="shared" si="282"/>
        <v>#VALUE!</v>
      </c>
      <c r="H350" s="258" t="s">
        <v>297</v>
      </c>
      <c r="I350" s="261" t="e">
        <f>VLOOKUP($A350,[1]Planilha!$A$18:$BK$553,62,FALSE)</f>
        <v>#N/A</v>
      </c>
      <c r="J350" s="261" t="e">
        <f t="shared" si="284"/>
        <v>#VALUE!</v>
      </c>
      <c r="K350" s="257" t="s">
        <v>85</v>
      </c>
      <c r="L350" s="261" t="e">
        <f>VLOOKUP($A350,[1]Planilha!$A$18:$BK$553,52,FALSE)</f>
        <v>#N/A</v>
      </c>
      <c r="M350" s="261" t="e">
        <f t="shared" si="285"/>
        <v>#VALUE!</v>
      </c>
      <c r="N350" s="258" t="s">
        <v>297</v>
      </c>
      <c r="O350" s="261" t="e">
        <f>VLOOKUP($A350,[1]Planilha!$A$18:$BK$553,60,FALSE)</f>
        <v>#N/A</v>
      </c>
      <c r="P350" s="261" t="e">
        <f t="shared" si="287"/>
        <v>#VALUE!</v>
      </c>
      <c r="Q350" s="257" t="s">
        <v>85</v>
      </c>
      <c r="R350" s="261" t="e">
        <f>VLOOKUP($A350,[1]Planilha!$A$18:$BK$553,51,FALSE)</f>
        <v>#N/A</v>
      </c>
      <c r="S350" s="261" t="e">
        <f t="shared" si="288"/>
        <v>#VALUE!</v>
      </c>
      <c r="T350" s="258" t="s">
        <v>297</v>
      </c>
      <c r="U350" s="261" t="e">
        <f>VLOOKUP($A350,[1]Planilha!$A$18:$BK$553,59,FALSE)</f>
        <v>#N/A</v>
      </c>
      <c r="V350" s="261" t="e">
        <f t="shared" si="289"/>
        <v>#VALUE!</v>
      </c>
      <c r="W350" s="257" t="s">
        <v>85</v>
      </c>
      <c r="X350" s="261" t="e">
        <f>VLOOKUP($A350,[1]Planilha!$A$18:$BK$553,50,FALSE)</f>
        <v>#N/A</v>
      </c>
      <c r="Y350" s="261" t="e">
        <f t="shared" si="291"/>
        <v>#VALUE!</v>
      </c>
      <c r="Z350" s="258" t="s">
        <v>297</v>
      </c>
      <c r="AA350" s="261" t="e">
        <f>VLOOKUP($A350,[1]Planilha!$A$18:$BK$553,58,FALSE)</f>
        <v>#N/A</v>
      </c>
      <c r="AB350" s="261" t="e">
        <f t="shared" si="293"/>
        <v>#VALUE!</v>
      </c>
      <c r="AC350" s="257" t="s">
        <v>85</v>
      </c>
      <c r="AD350" s="261" t="e">
        <f>VLOOKUP($A350,[1]Planilha!$A$18:$BK$553,49,FALSE)</f>
        <v>#N/A</v>
      </c>
      <c r="AE350" s="261" t="e">
        <f t="shared" si="295"/>
        <v>#VALUE!</v>
      </c>
      <c r="AF350" s="259" t="s">
        <v>297</v>
      </c>
      <c r="AG350" s="261" t="e">
        <f>VLOOKUP($A350,[1]Planilha!$A$18:$BK$553,57,FALSE)</f>
        <v>#N/A</v>
      </c>
      <c r="AH350" s="261" t="e">
        <f t="shared" si="297"/>
        <v>#VALUE!</v>
      </c>
    </row>
    <row r="351" spans="1:34" s="124" customFormat="1" ht="15">
      <c r="A351" s="414"/>
      <c r="B351" s="105" t="s">
        <v>747</v>
      </c>
      <c r="C351" s="105"/>
      <c r="D351" s="106"/>
      <c r="E351" s="186"/>
      <c r="F351" s="261" t="e">
        <f>VLOOKUP($A351,[1]Planilha!$A$18:$BK$553,54,FALSE)</f>
        <v>#N/A</v>
      </c>
      <c r="G351" s="261" t="e">
        <f t="shared" si="282"/>
        <v>#N/A</v>
      </c>
      <c r="H351" s="187"/>
      <c r="I351" s="261" t="e">
        <f>VLOOKUP($A351,[1]Planilha!$A$18:$BK$553,62,FALSE)</f>
        <v>#N/A</v>
      </c>
      <c r="J351" s="261" t="e">
        <f t="shared" si="284"/>
        <v>#N/A</v>
      </c>
      <c r="K351" s="186"/>
      <c r="L351" s="261" t="e">
        <f>VLOOKUP($A351,[1]Planilha!$A$18:$BK$553,52,FALSE)</f>
        <v>#N/A</v>
      </c>
      <c r="M351" s="261" t="e">
        <f t="shared" si="285"/>
        <v>#N/A</v>
      </c>
      <c r="N351" s="187"/>
      <c r="O351" s="261" t="e">
        <f>VLOOKUP($A351,[1]Planilha!$A$18:$BK$553,60,FALSE)</f>
        <v>#N/A</v>
      </c>
      <c r="P351" s="261" t="e">
        <f t="shared" si="287"/>
        <v>#N/A</v>
      </c>
      <c r="Q351" s="186"/>
      <c r="R351" s="261" t="e">
        <f>VLOOKUP($A351,[1]Planilha!$A$18:$BK$553,51,FALSE)</f>
        <v>#N/A</v>
      </c>
      <c r="S351" s="261" t="e">
        <f t="shared" si="288"/>
        <v>#N/A</v>
      </c>
      <c r="T351" s="187"/>
      <c r="U351" s="261" t="e">
        <f>VLOOKUP($A351,[1]Planilha!$A$18:$BK$553,59,FALSE)</f>
        <v>#N/A</v>
      </c>
      <c r="V351" s="261" t="e">
        <f t="shared" si="289"/>
        <v>#N/A</v>
      </c>
      <c r="W351" s="186"/>
      <c r="X351" s="261" t="e">
        <f>VLOOKUP($A351,[1]Planilha!$A$18:$BK$553,50,FALSE)</f>
        <v>#N/A</v>
      </c>
      <c r="Y351" s="261" t="e">
        <f t="shared" si="291"/>
        <v>#N/A</v>
      </c>
      <c r="Z351" s="187"/>
      <c r="AA351" s="261" t="e">
        <f>VLOOKUP($A351,[1]Planilha!$A$18:$BK$553,58,FALSE)</f>
        <v>#N/A</v>
      </c>
      <c r="AB351" s="261" t="e">
        <f t="shared" si="293"/>
        <v>#N/A</v>
      </c>
      <c r="AC351" s="186"/>
      <c r="AD351" s="261" t="e">
        <f>VLOOKUP($A351,[1]Planilha!$A$18:$BK$553,49,FALSE)</f>
        <v>#N/A</v>
      </c>
      <c r="AE351" s="261" t="e">
        <f t="shared" si="295"/>
        <v>#N/A</v>
      </c>
      <c r="AF351" s="190"/>
      <c r="AG351" s="261" t="e">
        <f>VLOOKUP($A351,[1]Planilha!$A$18:$BK$553,57,FALSE)</f>
        <v>#N/A</v>
      </c>
      <c r="AH351" s="261" t="e">
        <f t="shared" si="297"/>
        <v>#N/A</v>
      </c>
    </row>
    <row r="352" spans="1:34" s="124" customFormat="1">
      <c r="A352" s="232">
        <v>7891721026539</v>
      </c>
      <c r="B352" s="126">
        <v>1008900900378</v>
      </c>
      <c r="C352" s="123">
        <v>3191730002</v>
      </c>
      <c r="D352" s="214" t="s">
        <v>748</v>
      </c>
      <c r="E352" s="273">
        <f t="shared" ref="E352:E355" si="308">ROUND(K352*1.028952,2)</f>
        <v>31.84</v>
      </c>
      <c r="F352" s="261">
        <f>VLOOKUP($A352,[1]Planilha!$A$18:$BK$553,54,FALSE)</f>
        <v>31.38</v>
      </c>
      <c r="G352" s="261">
        <f t="shared" si="282"/>
        <v>0.46000000000000085</v>
      </c>
      <c r="H352" s="273">
        <f>ROUND(E352/0.751296,2)</f>
        <v>42.38</v>
      </c>
      <c r="I352" s="261">
        <f>VLOOKUP($A352,[1]Planilha!$A$18:$BK$553,62,FALSE)</f>
        <v>42.38</v>
      </c>
      <c r="J352" s="261">
        <f t="shared" si="284"/>
        <v>0</v>
      </c>
      <c r="K352" s="273">
        <f>VLOOKUP(A352,[2]Plan1!$H$2:$J$279,3,FALSE)</f>
        <v>30.94</v>
      </c>
      <c r="L352" s="261">
        <f>VLOOKUP($A352,[1]Planilha!$A$18:$BK$553,52,FALSE)</f>
        <v>30.94</v>
      </c>
      <c r="M352" s="261">
        <f t="shared" si="285"/>
        <v>0</v>
      </c>
      <c r="N352" s="273">
        <f t="shared" ref="N352:N355" si="309">ROUND(K352/0.750577,2)</f>
        <v>41.22</v>
      </c>
      <c r="O352" s="261">
        <f>VLOOKUP($A352,[1]Planilha!$A$18:$BK$553,60,FALSE)</f>
        <v>41.22</v>
      </c>
      <c r="P352" s="261">
        <f t="shared" si="287"/>
        <v>0</v>
      </c>
      <c r="Q352" s="273">
        <f t="shared" ref="Q352:Q355" si="310">ROUND(K352*0.993015,2)</f>
        <v>30.72</v>
      </c>
      <c r="R352" s="261">
        <f>VLOOKUP($A352,[1]Planilha!$A$18:$BK$553,51,FALSE)</f>
        <v>30.72</v>
      </c>
      <c r="S352" s="261">
        <f t="shared" si="288"/>
        <v>0</v>
      </c>
      <c r="T352" s="273">
        <f t="shared" ref="T352:T355" si="311">ROUND(Q352/0.750402,2)</f>
        <v>40.94</v>
      </c>
      <c r="U352" s="261">
        <f>VLOOKUP($A352,[1]Planilha!$A$18:$BK$553,59,FALSE)</f>
        <v>40.94</v>
      </c>
      <c r="V352" s="261">
        <f t="shared" si="289"/>
        <v>0</v>
      </c>
      <c r="W352" s="273">
        <f t="shared" ref="W352:W355" si="312">ROUND(K352*0.986128,2)</f>
        <v>30.51</v>
      </c>
      <c r="X352" s="261">
        <f>VLOOKUP($A352,[1]Planilha!$A$18:$BK$553,50,FALSE)</f>
        <v>30.51</v>
      </c>
      <c r="Y352" s="261">
        <f t="shared" si="291"/>
        <v>0</v>
      </c>
      <c r="Z352" s="273">
        <f t="shared" ref="Z352:Z355" si="313">ROUND(W352/0.75023,2)</f>
        <v>40.67</v>
      </c>
      <c r="AA352" s="261">
        <f>VLOOKUP($A352,[1]Planilha!$A$18:$BK$553,58,FALSE)</f>
        <v>40.67</v>
      </c>
      <c r="AB352" s="261">
        <f t="shared" si="293"/>
        <v>0</v>
      </c>
      <c r="AC352" s="273">
        <f t="shared" ref="AC352:AC355" si="314">ROUND(K352*0.922175,2)</f>
        <v>28.53</v>
      </c>
      <c r="AD352" s="261">
        <f>VLOOKUP($A352,[1]Planilha!$A$18:$BK$553,49,FALSE)</f>
        <v>28.53</v>
      </c>
      <c r="AE352" s="261">
        <f t="shared" si="295"/>
        <v>0</v>
      </c>
      <c r="AF352" s="274">
        <f t="shared" ref="AF352:AF355" si="315">ROUND(AC352/0.748624,2)</f>
        <v>38.11</v>
      </c>
      <c r="AG352" s="261">
        <f>VLOOKUP($A352,[1]Planilha!$A$18:$BK$553,57,FALSE)</f>
        <v>38.11</v>
      </c>
      <c r="AH352" s="261">
        <f t="shared" si="297"/>
        <v>0</v>
      </c>
    </row>
    <row r="353" spans="1:34" s="124" customFormat="1">
      <c r="A353" s="232">
        <v>7891721026546</v>
      </c>
      <c r="B353" s="126">
        <v>1008900900671</v>
      </c>
      <c r="C353" s="121">
        <v>3191730001</v>
      </c>
      <c r="D353" s="92" t="s">
        <v>749</v>
      </c>
      <c r="E353" s="267">
        <f t="shared" si="308"/>
        <v>46.34</v>
      </c>
      <c r="F353" s="261">
        <f>VLOOKUP($A353,[1]Planilha!$A$18:$BK$553,54,FALSE)</f>
        <v>45.68</v>
      </c>
      <c r="G353" s="261">
        <f t="shared" si="282"/>
        <v>0.66000000000000369</v>
      </c>
      <c r="H353" s="267">
        <f>ROUND(E353/0.751296,2)</f>
        <v>61.68</v>
      </c>
      <c r="I353" s="261">
        <f>VLOOKUP($A353,[1]Planilha!$A$18:$BK$553,62,FALSE)</f>
        <v>61.68</v>
      </c>
      <c r="J353" s="261">
        <f t="shared" si="284"/>
        <v>0</v>
      </c>
      <c r="K353" s="273">
        <f>VLOOKUP(A353,[2]Plan1!$H$2:$J$279,3,FALSE)</f>
        <v>45.04</v>
      </c>
      <c r="L353" s="261">
        <f>VLOOKUP($A353,[1]Planilha!$A$18:$BK$553,52,FALSE)</f>
        <v>45.04</v>
      </c>
      <c r="M353" s="261">
        <f t="shared" si="285"/>
        <v>0</v>
      </c>
      <c r="N353" s="267">
        <f t="shared" si="309"/>
        <v>60.01</v>
      </c>
      <c r="O353" s="261">
        <f>VLOOKUP($A353,[1]Planilha!$A$18:$BK$553,60,FALSE)</f>
        <v>60.01</v>
      </c>
      <c r="P353" s="261">
        <f t="shared" si="287"/>
        <v>0</v>
      </c>
      <c r="Q353" s="267">
        <f t="shared" si="310"/>
        <v>44.73</v>
      </c>
      <c r="R353" s="261">
        <f>VLOOKUP($A353,[1]Planilha!$A$18:$BK$553,51,FALSE)</f>
        <v>44.73</v>
      </c>
      <c r="S353" s="261">
        <f t="shared" si="288"/>
        <v>0</v>
      </c>
      <c r="T353" s="267">
        <f t="shared" si="311"/>
        <v>59.61</v>
      </c>
      <c r="U353" s="261">
        <f>VLOOKUP($A353,[1]Planilha!$A$18:$BK$553,59,FALSE)</f>
        <v>59.61</v>
      </c>
      <c r="V353" s="261">
        <f t="shared" si="289"/>
        <v>0</v>
      </c>
      <c r="W353" s="267">
        <f t="shared" si="312"/>
        <v>44.42</v>
      </c>
      <c r="X353" s="261">
        <f>VLOOKUP($A353,[1]Planilha!$A$18:$BK$553,50,FALSE)</f>
        <v>44.42</v>
      </c>
      <c r="Y353" s="261">
        <f t="shared" si="291"/>
        <v>0</v>
      </c>
      <c r="Z353" s="267">
        <f t="shared" si="313"/>
        <v>59.21</v>
      </c>
      <c r="AA353" s="261">
        <f>VLOOKUP($A353,[1]Planilha!$A$18:$BK$553,58,FALSE)</f>
        <v>59.21</v>
      </c>
      <c r="AB353" s="261">
        <f t="shared" si="293"/>
        <v>0</v>
      </c>
      <c r="AC353" s="267">
        <f t="shared" si="314"/>
        <v>41.53</v>
      </c>
      <c r="AD353" s="261">
        <f>VLOOKUP($A353,[1]Planilha!$A$18:$BK$553,49,FALSE)</f>
        <v>41.53</v>
      </c>
      <c r="AE353" s="261">
        <f t="shared" si="295"/>
        <v>0</v>
      </c>
      <c r="AF353" s="268">
        <f t="shared" si="315"/>
        <v>55.48</v>
      </c>
      <c r="AG353" s="261">
        <f>VLOOKUP($A353,[1]Planilha!$A$18:$BK$553,57,FALSE)</f>
        <v>55.48</v>
      </c>
      <c r="AH353" s="261">
        <f t="shared" si="297"/>
        <v>0</v>
      </c>
    </row>
    <row r="354" spans="1:34" s="124" customFormat="1">
      <c r="A354" s="232">
        <v>7891721026454</v>
      </c>
      <c r="B354" s="126">
        <v>1008900900548</v>
      </c>
      <c r="C354" s="126">
        <v>3191710002</v>
      </c>
      <c r="D354" s="125" t="s">
        <v>750</v>
      </c>
      <c r="E354" s="403">
        <f t="shared" si="308"/>
        <v>31.84</v>
      </c>
      <c r="F354" s="496">
        <f>VLOOKUP($A354,[1]Planilha!$A$18:$BK$553,54,FALSE)</f>
        <v>37.130000000000003</v>
      </c>
      <c r="G354" s="496">
        <f t="shared" si="282"/>
        <v>-5.2900000000000027</v>
      </c>
      <c r="H354" s="403">
        <f>ROUND(E354/0.751296,2)</f>
        <v>42.38</v>
      </c>
      <c r="I354" s="496">
        <f>VLOOKUP($A354,[1]Planilha!$A$18:$BK$553,62,FALSE)</f>
        <v>50.14</v>
      </c>
      <c r="J354" s="496">
        <f t="shared" si="284"/>
        <v>-7.759999999999998</v>
      </c>
      <c r="K354" s="273">
        <v>30.94</v>
      </c>
      <c r="L354" s="496">
        <f>VLOOKUP($A354,[1]Planilha!$A$18:$BK$553,52,FALSE)</f>
        <v>36.61</v>
      </c>
      <c r="M354" s="496">
        <f t="shared" si="285"/>
        <v>-5.6699999999999982</v>
      </c>
      <c r="N354" s="403">
        <f t="shared" si="309"/>
        <v>41.22</v>
      </c>
      <c r="O354" s="496">
        <f>VLOOKUP($A354,[1]Planilha!$A$18:$BK$553,60,FALSE)</f>
        <v>48.78</v>
      </c>
      <c r="P354" s="496">
        <f t="shared" si="287"/>
        <v>-7.5600000000000023</v>
      </c>
      <c r="Q354" s="403">
        <f t="shared" si="310"/>
        <v>30.72</v>
      </c>
      <c r="R354" s="496">
        <f>VLOOKUP($A354,[1]Planilha!$A$18:$BK$553,51,FALSE)</f>
        <v>36.35</v>
      </c>
      <c r="S354" s="496">
        <f t="shared" si="288"/>
        <v>-5.6300000000000026</v>
      </c>
      <c r="T354" s="403">
        <f t="shared" si="311"/>
        <v>40.94</v>
      </c>
      <c r="U354" s="496">
        <f>VLOOKUP($A354,[1]Planilha!$A$18:$BK$553,59,FALSE)</f>
        <v>48.44</v>
      </c>
      <c r="V354" s="496">
        <f t="shared" si="289"/>
        <v>-7.5</v>
      </c>
      <c r="W354" s="403">
        <f t="shared" si="312"/>
        <v>30.51</v>
      </c>
      <c r="X354" s="496">
        <f>VLOOKUP($A354,[1]Planilha!$A$18:$BK$553,50,FALSE)</f>
        <v>36.1</v>
      </c>
      <c r="Y354" s="496">
        <f t="shared" si="291"/>
        <v>-5.59</v>
      </c>
      <c r="Z354" s="403">
        <f t="shared" si="313"/>
        <v>40.67</v>
      </c>
      <c r="AA354" s="496">
        <f>VLOOKUP($A354,[1]Planilha!$A$18:$BK$553,58,FALSE)</f>
        <v>48.12</v>
      </c>
      <c r="AB354" s="496">
        <f t="shared" si="293"/>
        <v>-7.4499999999999957</v>
      </c>
      <c r="AC354" s="403">
        <f t="shared" si="314"/>
        <v>28.53</v>
      </c>
      <c r="AD354" s="496">
        <f>VLOOKUP($A354,[1]Planilha!$A$18:$BK$553,49,FALSE)</f>
        <v>33.76</v>
      </c>
      <c r="AE354" s="496">
        <f t="shared" si="295"/>
        <v>-5.2299999999999969</v>
      </c>
      <c r="AF354" s="410">
        <f t="shared" si="315"/>
        <v>38.11</v>
      </c>
      <c r="AG354" s="496">
        <f>VLOOKUP($A354,[1]Planilha!$A$18:$BK$553,57,FALSE)</f>
        <v>45.1</v>
      </c>
      <c r="AH354" s="496">
        <f t="shared" si="297"/>
        <v>-6.990000000000002</v>
      </c>
    </row>
    <row r="355" spans="1:34" s="124" customFormat="1" ht="13.5" thickBot="1">
      <c r="A355" s="696">
        <v>7891721026478</v>
      </c>
      <c r="B355" s="147">
        <v>1008900900564</v>
      </c>
      <c r="C355" s="211">
        <v>3191710001</v>
      </c>
      <c r="D355" s="92" t="s">
        <v>751</v>
      </c>
      <c r="E355" s="269">
        <f t="shared" si="308"/>
        <v>46.34</v>
      </c>
      <c r="F355" s="261">
        <f>VLOOKUP($A355,[1]Planilha!$A$18:$BK$553,54,FALSE)</f>
        <v>61.88</v>
      </c>
      <c r="G355" s="261">
        <f t="shared" si="282"/>
        <v>-15.54</v>
      </c>
      <c r="H355" s="269">
        <f>ROUND(E355/0.751296,2)</f>
        <v>61.68</v>
      </c>
      <c r="I355" s="261">
        <f>VLOOKUP($A355,[1]Planilha!$A$18:$BK$553,62,FALSE)</f>
        <v>83.56</v>
      </c>
      <c r="J355" s="261">
        <f t="shared" si="284"/>
        <v>-21.880000000000003</v>
      </c>
      <c r="K355" s="273">
        <v>45.04</v>
      </c>
      <c r="L355" s="261">
        <f>VLOOKUP($A355,[1]Planilha!$A$18:$BK$553,52,FALSE)</f>
        <v>61.01</v>
      </c>
      <c r="M355" s="261">
        <f t="shared" si="285"/>
        <v>-15.969999999999999</v>
      </c>
      <c r="N355" s="269">
        <f t="shared" si="309"/>
        <v>60.01</v>
      </c>
      <c r="O355" s="261">
        <f>VLOOKUP($A355,[1]Planilha!$A$18:$BK$553,60,FALSE)</f>
        <v>81.28</v>
      </c>
      <c r="P355" s="261">
        <f t="shared" si="287"/>
        <v>-21.270000000000003</v>
      </c>
      <c r="Q355" s="269">
        <f t="shared" si="310"/>
        <v>44.73</v>
      </c>
      <c r="R355" s="261">
        <f>VLOOKUP($A355,[1]Planilha!$A$18:$BK$553,51,FALSE)</f>
        <v>60.58</v>
      </c>
      <c r="S355" s="261">
        <f t="shared" si="288"/>
        <v>-15.850000000000001</v>
      </c>
      <c r="T355" s="269">
        <f t="shared" si="311"/>
        <v>59.61</v>
      </c>
      <c r="U355" s="261">
        <f>VLOOKUP($A355,[1]Planilha!$A$18:$BK$553,59,FALSE)</f>
        <v>80.73</v>
      </c>
      <c r="V355" s="261">
        <f t="shared" si="289"/>
        <v>-21.120000000000005</v>
      </c>
      <c r="W355" s="269">
        <f t="shared" si="312"/>
        <v>44.42</v>
      </c>
      <c r="X355" s="261">
        <f>VLOOKUP($A355,[1]Planilha!$A$18:$BK$553,50,FALSE)</f>
        <v>60.16</v>
      </c>
      <c r="Y355" s="261">
        <f t="shared" si="291"/>
        <v>-15.739999999999995</v>
      </c>
      <c r="Z355" s="269">
        <f t="shared" si="313"/>
        <v>59.21</v>
      </c>
      <c r="AA355" s="261">
        <f>VLOOKUP($A355,[1]Planilha!$A$18:$BK$553,58,FALSE)</f>
        <v>80.19</v>
      </c>
      <c r="AB355" s="261">
        <f t="shared" si="293"/>
        <v>-20.979999999999997</v>
      </c>
      <c r="AC355" s="269">
        <f t="shared" si="314"/>
        <v>41.53</v>
      </c>
      <c r="AD355" s="261">
        <f>VLOOKUP($A355,[1]Planilha!$A$18:$BK$553,49,FALSE)</f>
        <v>56.26</v>
      </c>
      <c r="AE355" s="261">
        <f t="shared" si="295"/>
        <v>-14.729999999999997</v>
      </c>
      <c r="AF355" s="270">
        <f t="shared" si="315"/>
        <v>55.48</v>
      </c>
      <c r="AG355" s="261">
        <f>VLOOKUP($A355,[1]Planilha!$A$18:$BK$553,57,FALSE)</f>
        <v>75.150000000000006</v>
      </c>
      <c r="AH355" s="261">
        <f t="shared" si="297"/>
        <v>-19.670000000000009</v>
      </c>
    </row>
    <row r="356" spans="1:34" s="124" customFormat="1" ht="13.5" thickBot="1">
      <c r="A356" s="679"/>
      <c r="B356" s="170"/>
      <c r="C356" s="170"/>
      <c r="D356" s="171"/>
      <c r="E356" s="235"/>
      <c r="F356" s="261" t="e">
        <f>VLOOKUP($A356,[1]Planilha!$A$18:$BK$553,54,FALSE)</f>
        <v>#N/A</v>
      </c>
      <c r="G356" s="261" t="e">
        <f t="shared" si="282"/>
        <v>#N/A</v>
      </c>
      <c r="H356" s="236"/>
      <c r="I356" s="261" t="e">
        <f>VLOOKUP($A356,[1]Planilha!$A$18:$BK$553,62,FALSE)</f>
        <v>#N/A</v>
      </c>
      <c r="J356" s="261" t="e">
        <f t="shared" si="284"/>
        <v>#N/A</v>
      </c>
      <c r="K356" s="237"/>
      <c r="L356" s="261" t="e">
        <f>VLOOKUP($A356,[1]Planilha!$A$18:$BK$553,52,FALSE)</f>
        <v>#N/A</v>
      </c>
      <c r="M356" s="261" t="e">
        <f t="shared" si="285"/>
        <v>#N/A</v>
      </c>
      <c r="N356" s="236"/>
      <c r="O356" s="261" t="e">
        <f>VLOOKUP($A356,[1]Planilha!$A$18:$BK$553,60,FALSE)</f>
        <v>#N/A</v>
      </c>
      <c r="P356" s="261" t="e">
        <f t="shared" si="287"/>
        <v>#N/A</v>
      </c>
      <c r="Q356" s="238"/>
      <c r="R356" s="261" t="e">
        <f>VLOOKUP($A356,[1]Planilha!$A$18:$BK$553,51,FALSE)</f>
        <v>#N/A</v>
      </c>
      <c r="S356" s="261" t="e">
        <f t="shared" si="288"/>
        <v>#N/A</v>
      </c>
      <c r="T356" s="236"/>
      <c r="U356" s="261" t="e">
        <f>VLOOKUP($A356,[1]Planilha!$A$18:$BK$553,59,FALSE)</f>
        <v>#N/A</v>
      </c>
      <c r="V356" s="261" t="e">
        <f t="shared" si="289"/>
        <v>#N/A</v>
      </c>
      <c r="W356" s="238"/>
      <c r="X356" s="261" t="e">
        <f>VLOOKUP($A356,[1]Planilha!$A$18:$BK$553,50,FALSE)</f>
        <v>#N/A</v>
      </c>
      <c r="Y356" s="261" t="e">
        <f t="shared" si="291"/>
        <v>#N/A</v>
      </c>
      <c r="Z356" s="236"/>
      <c r="AA356" s="261" t="e">
        <f>VLOOKUP($A356,[1]Planilha!$A$18:$BK$553,58,FALSE)</f>
        <v>#N/A</v>
      </c>
      <c r="AB356" s="261" t="e">
        <f t="shared" si="293"/>
        <v>#N/A</v>
      </c>
      <c r="AC356" s="238"/>
      <c r="AD356" s="261" t="e">
        <f>VLOOKUP($A356,[1]Planilha!$A$18:$BK$553,49,FALSE)</f>
        <v>#N/A</v>
      </c>
      <c r="AE356" s="261" t="e">
        <f t="shared" si="295"/>
        <v>#N/A</v>
      </c>
      <c r="AF356" s="239"/>
      <c r="AG356" s="261" t="e">
        <f>VLOOKUP($A356,[1]Planilha!$A$18:$BK$553,57,FALSE)</f>
        <v>#N/A</v>
      </c>
      <c r="AH356" s="261" t="e">
        <f t="shared" si="297"/>
        <v>#N/A</v>
      </c>
    </row>
    <row r="357" spans="1:34" s="124" customFormat="1" ht="18.75" customHeight="1" thickBot="1">
      <c r="A357" s="680" t="s">
        <v>295</v>
      </c>
      <c r="B357" s="451" t="s">
        <v>298</v>
      </c>
      <c r="C357" s="452"/>
      <c r="D357" s="453"/>
      <c r="E357" s="454" t="s">
        <v>741</v>
      </c>
      <c r="F357" s="261" t="e">
        <f>VLOOKUP($A357,[1]Planilha!$A$18:$BK$553,54,FALSE)</f>
        <v>#N/A</v>
      </c>
      <c r="G357" s="261" t="e">
        <f t="shared" si="282"/>
        <v>#VALUE!</v>
      </c>
      <c r="H357" s="455"/>
      <c r="I357" s="261" t="e">
        <f>VLOOKUP($A357,[1]Planilha!$A$18:$BK$553,62,FALSE)</f>
        <v>#N/A</v>
      </c>
      <c r="J357" s="261" t="e">
        <f t="shared" si="284"/>
        <v>#N/A</v>
      </c>
      <c r="K357" s="454" t="s">
        <v>292</v>
      </c>
      <c r="L357" s="261" t="e">
        <f>VLOOKUP($A357,[1]Planilha!$A$18:$BK$553,52,FALSE)</f>
        <v>#N/A</v>
      </c>
      <c r="M357" s="261" t="e">
        <f t="shared" si="285"/>
        <v>#VALUE!</v>
      </c>
      <c r="N357" s="455"/>
      <c r="O357" s="261" t="e">
        <f>VLOOKUP($A357,[1]Planilha!$A$18:$BK$553,60,FALSE)</f>
        <v>#N/A</v>
      </c>
      <c r="P357" s="261" t="e">
        <f t="shared" si="287"/>
        <v>#N/A</v>
      </c>
      <c r="Q357" s="456" t="s">
        <v>740</v>
      </c>
      <c r="R357" s="261" t="e">
        <f>VLOOKUP($A357,[1]Planilha!$A$18:$BK$553,51,FALSE)</f>
        <v>#N/A</v>
      </c>
      <c r="S357" s="261" t="e">
        <f t="shared" si="288"/>
        <v>#VALUE!</v>
      </c>
      <c r="T357" s="455"/>
      <c r="U357" s="261" t="e">
        <f>VLOOKUP($A357,[1]Planilha!$A$18:$BK$553,59,FALSE)</f>
        <v>#N/A</v>
      </c>
      <c r="V357" s="261" t="e">
        <f t="shared" si="289"/>
        <v>#N/A</v>
      </c>
      <c r="W357" s="456" t="s">
        <v>293</v>
      </c>
      <c r="X357" s="261" t="e">
        <f>VLOOKUP($A357,[1]Planilha!$A$18:$BK$553,50,FALSE)</f>
        <v>#N/A</v>
      </c>
      <c r="Y357" s="261" t="e">
        <f t="shared" si="291"/>
        <v>#VALUE!</v>
      </c>
      <c r="Z357" s="455"/>
      <c r="AA357" s="261" t="e">
        <f>VLOOKUP($A357,[1]Planilha!$A$18:$BK$553,58,FALSE)</f>
        <v>#N/A</v>
      </c>
      <c r="AB357" s="261" t="e">
        <f t="shared" si="293"/>
        <v>#N/A</v>
      </c>
      <c r="AC357" s="456" t="s">
        <v>322</v>
      </c>
      <c r="AD357" s="261" t="e">
        <f>VLOOKUP($A357,[1]Planilha!$A$18:$BK$553,49,FALSE)</f>
        <v>#N/A</v>
      </c>
      <c r="AE357" s="261" t="e">
        <f t="shared" si="295"/>
        <v>#VALUE!</v>
      </c>
      <c r="AF357" s="459"/>
      <c r="AG357" s="261" t="e">
        <f>VLOOKUP($A357,[1]Planilha!$A$18:$BK$553,57,FALSE)</f>
        <v>#N/A</v>
      </c>
      <c r="AH357" s="261" t="e">
        <f t="shared" si="297"/>
        <v>#N/A</v>
      </c>
    </row>
    <row r="358" spans="1:34" s="124" customFormat="1" ht="12.75" customHeight="1">
      <c r="A358" s="449" t="s">
        <v>296</v>
      </c>
      <c r="B358" s="115" t="s">
        <v>13</v>
      </c>
      <c r="C358" s="119" t="s">
        <v>83</v>
      </c>
      <c r="D358" s="91"/>
      <c r="E358" s="254" t="s">
        <v>81</v>
      </c>
      <c r="F358" s="261" t="e">
        <f>VLOOKUP($A358,[1]Planilha!$A$18:$BK$553,54,FALSE)</f>
        <v>#N/A</v>
      </c>
      <c r="G358" s="261" t="e">
        <f t="shared" si="282"/>
        <v>#VALUE!</v>
      </c>
      <c r="H358" s="255" t="s">
        <v>82</v>
      </c>
      <c r="I358" s="261" t="e">
        <f>VLOOKUP($A358,[1]Planilha!$A$18:$BK$553,62,FALSE)</f>
        <v>#N/A</v>
      </c>
      <c r="J358" s="261" t="e">
        <f t="shared" si="284"/>
        <v>#VALUE!</v>
      </c>
      <c r="K358" s="254" t="s">
        <v>81</v>
      </c>
      <c r="L358" s="261" t="e">
        <f>VLOOKUP($A358,[1]Planilha!$A$18:$BK$553,52,FALSE)</f>
        <v>#N/A</v>
      </c>
      <c r="M358" s="261" t="e">
        <f t="shared" si="285"/>
        <v>#VALUE!</v>
      </c>
      <c r="N358" s="260" t="s">
        <v>82</v>
      </c>
      <c r="O358" s="261" t="e">
        <f>VLOOKUP($A358,[1]Planilha!$A$18:$BK$553,60,FALSE)</f>
        <v>#N/A</v>
      </c>
      <c r="P358" s="261" t="e">
        <f t="shared" si="287"/>
        <v>#VALUE!</v>
      </c>
      <c r="Q358" s="254" t="s">
        <v>81</v>
      </c>
      <c r="R358" s="261" t="e">
        <f>VLOOKUP($A358,[1]Planilha!$A$18:$BK$553,51,FALSE)</f>
        <v>#N/A</v>
      </c>
      <c r="S358" s="261" t="e">
        <f t="shared" si="288"/>
        <v>#VALUE!</v>
      </c>
      <c r="T358" s="255" t="s">
        <v>82</v>
      </c>
      <c r="U358" s="261" t="e">
        <f>VLOOKUP($A358,[1]Planilha!$A$18:$BK$553,59,FALSE)</f>
        <v>#N/A</v>
      </c>
      <c r="V358" s="261" t="e">
        <f t="shared" si="289"/>
        <v>#VALUE!</v>
      </c>
      <c r="W358" s="254" t="s">
        <v>81</v>
      </c>
      <c r="X358" s="261" t="e">
        <f>VLOOKUP($A358,[1]Planilha!$A$18:$BK$553,50,FALSE)</f>
        <v>#N/A</v>
      </c>
      <c r="Y358" s="261" t="e">
        <f t="shared" si="291"/>
        <v>#VALUE!</v>
      </c>
      <c r="Z358" s="255" t="s">
        <v>82</v>
      </c>
      <c r="AA358" s="261" t="e">
        <f>VLOOKUP($A358,[1]Planilha!$A$18:$BK$553,58,FALSE)</f>
        <v>#N/A</v>
      </c>
      <c r="AB358" s="261" t="e">
        <f t="shared" si="293"/>
        <v>#VALUE!</v>
      </c>
      <c r="AC358" s="254" t="s">
        <v>81</v>
      </c>
      <c r="AD358" s="261" t="e">
        <f>VLOOKUP($A358,[1]Planilha!$A$18:$BK$553,49,FALSE)</f>
        <v>#N/A</v>
      </c>
      <c r="AE358" s="261" t="e">
        <f t="shared" si="295"/>
        <v>#VALUE!</v>
      </c>
      <c r="AF358" s="256" t="s">
        <v>82</v>
      </c>
      <c r="AG358" s="261" t="e">
        <f>VLOOKUP($A358,[1]Planilha!$A$18:$BK$553,57,FALSE)</f>
        <v>#N/A</v>
      </c>
      <c r="AH358" s="261" t="e">
        <f t="shared" si="297"/>
        <v>#VALUE!</v>
      </c>
    </row>
    <row r="359" spans="1:34" s="124" customFormat="1" ht="13.5" customHeight="1" thickBot="1">
      <c r="A359" s="450"/>
      <c r="B359" s="155" t="s">
        <v>14</v>
      </c>
      <c r="C359" s="156" t="s">
        <v>379</v>
      </c>
      <c r="D359" s="164" t="s">
        <v>84</v>
      </c>
      <c r="E359" s="257" t="s">
        <v>85</v>
      </c>
      <c r="F359" s="261" t="e">
        <f>VLOOKUP($A359,[1]Planilha!$A$18:$BK$553,54,FALSE)</f>
        <v>#N/A</v>
      </c>
      <c r="G359" s="261" t="e">
        <f t="shared" si="282"/>
        <v>#VALUE!</v>
      </c>
      <c r="H359" s="258" t="s">
        <v>297</v>
      </c>
      <c r="I359" s="261" t="e">
        <f>VLOOKUP($A359,[1]Planilha!$A$18:$BK$553,62,FALSE)</f>
        <v>#N/A</v>
      </c>
      <c r="J359" s="261" t="e">
        <f t="shared" si="284"/>
        <v>#VALUE!</v>
      </c>
      <c r="K359" s="257" t="s">
        <v>85</v>
      </c>
      <c r="L359" s="261" t="e">
        <f>VLOOKUP($A359,[1]Planilha!$A$18:$BK$553,52,FALSE)</f>
        <v>#N/A</v>
      </c>
      <c r="M359" s="261" t="e">
        <f t="shared" si="285"/>
        <v>#VALUE!</v>
      </c>
      <c r="N359" s="258" t="s">
        <v>297</v>
      </c>
      <c r="O359" s="261" t="e">
        <f>VLOOKUP($A359,[1]Planilha!$A$18:$BK$553,60,FALSE)</f>
        <v>#N/A</v>
      </c>
      <c r="P359" s="261" t="e">
        <f t="shared" si="287"/>
        <v>#VALUE!</v>
      </c>
      <c r="Q359" s="257" t="s">
        <v>85</v>
      </c>
      <c r="R359" s="261" t="e">
        <f>VLOOKUP($A359,[1]Planilha!$A$18:$BK$553,51,FALSE)</f>
        <v>#N/A</v>
      </c>
      <c r="S359" s="261" t="e">
        <f t="shared" si="288"/>
        <v>#VALUE!</v>
      </c>
      <c r="T359" s="258" t="s">
        <v>297</v>
      </c>
      <c r="U359" s="261" t="e">
        <f>VLOOKUP($A359,[1]Planilha!$A$18:$BK$553,59,FALSE)</f>
        <v>#N/A</v>
      </c>
      <c r="V359" s="261" t="e">
        <f t="shared" si="289"/>
        <v>#VALUE!</v>
      </c>
      <c r="W359" s="257" t="s">
        <v>85</v>
      </c>
      <c r="X359" s="261" t="e">
        <f>VLOOKUP($A359,[1]Planilha!$A$18:$BK$553,50,FALSE)</f>
        <v>#N/A</v>
      </c>
      <c r="Y359" s="261" t="e">
        <f t="shared" si="291"/>
        <v>#VALUE!</v>
      </c>
      <c r="Z359" s="258" t="s">
        <v>297</v>
      </c>
      <c r="AA359" s="261" t="e">
        <f>VLOOKUP($A359,[1]Planilha!$A$18:$BK$553,58,FALSE)</f>
        <v>#N/A</v>
      </c>
      <c r="AB359" s="261" t="e">
        <f t="shared" si="293"/>
        <v>#VALUE!</v>
      </c>
      <c r="AC359" s="257" t="s">
        <v>85</v>
      </c>
      <c r="AD359" s="261" t="e">
        <f>VLOOKUP($A359,[1]Planilha!$A$18:$BK$553,49,FALSE)</f>
        <v>#N/A</v>
      </c>
      <c r="AE359" s="261" t="e">
        <f t="shared" si="295"/>
        <v>#VALUE!</v>
      </c>
      <c r="AF359" s="259" t="s">
        <v>297</v>
      </c>
      <c r="AG359" s="261" t="e">
        <f>VLOOKUP($A359,[1]Planilha!$A$18:$BK$553,57,FALSE)</f>
        <v>#N/A</v>
      </c>
      <c r="AH359" s="261" t="e">
        <f t="shared" si="297"/>
        <v>#VALUE!</v>
      </c>
    </row>
    <row r="360" spans="1:34" s="279" customFormat="1" ht="15">
      <c r="A360" s="414"/>
      <c r="B360" s="415" t="s">
        <v>582</v>
      </c>
      <c r="C360" s="415"/>
      <c r="D360" s="416"/>
      <c r="E360" s="500"/>
      <c r="F360" s="496" t="e">
        <f>VLOOKUP($A360,[1]Planilha!$A$18:$BK$553,54,FALSE)</f>
        <v>#N/A</v>
      </c>
      <c r="G360" s="496" t="e">
        <f t="shared" si="282"/>
        <v>#N/A</v>
      </c>
      <c r="H360" s="501"/>
      <c r="I360" s="496" t="e">
        <f>VLOOKUP($A360,[1]Planilha!$A$18:$BK$553,62,FALSE)</f>
        <v>#N/A</v>
      </c>
      <c r="J360" s="496" t="e">
        <f t="shared" si="284"/>
        <v>#N/A</v>
      </c>
      <c r="K360" s="273"/>
      <c r="L360" s="496" t="e">
        <f>VLOOKUP($A360,[1]Planilha!$A$18:$BK$553,52,FALSE)</f>
        <v>#N/A</v>
      </c>
      <c r="M360" s="496" t="e">
        <f t="shared" si="285"/>
        <v>#N/A</v>
      </c>
      <c r="N360" s="501"/>
      <c r="O360" s="496" t="e">
        <f>VLOOKUP($A360,[1]Planilha!$A$18:$BK$553,60,FALSE)</f>
        <v>#N/A</v>
      </c>
      <c r="P360" s="496" t="e">
        <f t="shared" si="287"/>
        <v>#N/A</v>
      </c>
      <c r="Q360" s="500"/>
      <c r="R360" s="496" t="e">
        <f>VLOOKUP($A360,[1]Planilha!$A$18:$BK$553,51,FALSE)</f>
        <v>#N/A</v>
      </c>
      <c r="S360" s="496" t="e">
        <f t="shared" si="288"/>
        <v>#N/A</v>
      </c>
      <c r="T360" s="501"/>
      <c r="U360" s="496" t="e">
        <f>VLOOKUP($A360,[1]Planilha!$A$18:$BK$553,59,FALSE)</f>
        <v>#N/A</v>
      </c>
      <c r="V360" s="496" t="e">
        <f t="shared" si="289"/>
        <v>#N/A</v>
      </c>
      <c r="W360" s="500"/>
      <c r="X360" s="496" t="e">
        <f>VLOOKUP($A360,[1]Planilha!$A$18:$BK$553,50,FALSE)</f>
        <v>#N/A</v>
      </c>
      <c r="Y360" s="496" t="e">
        <f t="shared" si="291"/>
        <v>#N/A</v>
      </c>
      <c r="Z360" s="501"/>
      <c r="AA360" s="496" t="e">
        <f>VLOOKUP($A360,[1]Planilha!$A$18:$BK$553,58,FALSE)</f>
        <v>#N/A</v>
      </c>
      <c r="AB360" s="496" t="e">
        <f t="shared" si="293"/>
        <v>#N/A</v>
      </c>
      <c r="AC360" s="500"/>
      <c r="AD360" s="496" t="e">
        <f>VLOOKUP($A360,[1]Planilha!$A$18:$BK$553,49,FALSE)</f>
        <v>#N/A</v>
      </c>
      <c r="AE360" s="496" t="e">
        <f t="shared" si="295"/>
        <v>#N/A</v>
      </c>
      <c r="AF360" s="502"/>
      <c r="AG360" s="496" t="e">
        <f>VLOOKUP($A360,[1]Planilha!$A$18:$BK$553,57,FALSE)</f>
        <v>#N/A</v>
      </c>
      <c r="AH360" s="496" t="e">
        <f t="shared" si="297"/>
        <v>#N/A</v>
      </c>
    </row>
    <row r="361" spans="1:34" s="124" customFormat="1">
      <c r="A361" s="503">
        <v>7891721023422</v>
      </c>
      <c r="B361" s="126">
        <v>1008903580056</v>
      </c>
      <c r="C361" s="123">
        <v>3018884901</v>
      </c>
      <c r="D361" s="402" t="s">
        <v>584</v>
      </c>
      <c r="E361" s="273">
        <f t="shared" ref="E361:E362" si="316">ROUND(K361*1.028952,2)</f>
        <v>24.02</v>
      </c>
      <c r="F361" s="496" t="e">
        <f>VLOOKUP($A361,[1]Planilha!$A$18:$BK$553,54,FALSE)</f>
        <v>#N/A</v>
      </c>
      <c r="G361" s="496" t="e">
        <f t="shared" si="282"/>
        <v>#N/A</v>
      </c>
      <c r="H361" s="273">
        <f>ROUND(E361/0.751296,2)</f>
        <v>31.97</v>
      </c>
      <c r="I361" s="496" t="e">
        <f>VLOOKUP($A361,[1]Planilha!$A$18:$BK$553,62,FALSE)</f>
        <v>#N/A</v>
      </c>
      <c r="J361" s="496" t="e">
        <f t="shared" si="284"/>
        <v>#N/A</v>
      </c>
      <c r="K361" s="573">
        <v>23.34</v>
      </c>
      <c r="L361" s="496" t="e">
        <f>VLOOKUP($A361,[1]Planilha!$A$18:$BK$553,52,FALSE)</f>
        <v>#N/A</v>
      </c>
      <c r="M361" s="496" t="e">
        <f t="shared" si="285"/>
        <v>#N/A</v>
      </c>
      <c r="N361" s="273">
        <f t="shared" ref="N361:N362" si="317">ROUND(K361/0.750577,2)</f>
        <v>31.1</v>
      </c>
      <c r="O361" s="496" t="e">
        <f>VLOOKUP($A361,[1]Planilha!$A$18:$BK$553,60,FALSE)</f>
        <v>#N/A</v>
      </c>
      <c r="P361" s="496" t="e">
        <f t="shared" si="287"/>
        <v>#N/A</v>
      </c>
      <c r="Q361" s="273">
        <f t="shared" ref="Q361:Q362" si="318">ROUND(K361*0.993015,2)</f>
        <v>23.18</v>
      </c>
      <c r="R361" s="496" t="e">
        <f>VLOOKUP($A361,[1]Planilha!$A$18:$BK$553,51,FALSE)</f>
        <v>#N/A</v>
      </c>
      <c r="S361" s="496" t="e">
        <f t="shared" si="288"/>
        <v>#N/A</v>
      </c>
      <c r="T361" s="273">
        <f t="shared" ref="T361:T362" si="319">ROUND(Q361/0.750402,2)</f>
        <v>30.89</v>
      </c>
      <c r="U361" s="496" t="e">
        <f>VLOOKUP($A361,[1]Planilha!$A$18:$BK$553,59,FALSE)</f>
        <v>#N/A</v>
      </c>
      <c r="V361" s="496" t="e">
        <f t="shared" si="289"/>
        <v>#N/A</v>
      </c>
      <c r="W361" s="273">
        <f t="shared" ref="W361:W362" si="320">ROUND(K361*0.986128,2)</f>
        <v>23.02</v>
      </c>
      <c r="X361" s="496" t="e">
        <f>VLOOKUP($A361,[1]Planilha!$A$18:$BK$553,50,FALSE)</f>
        <v>#N/A</v>
      </c>
      <c r="Y361" s="496" t="e">
        <f t="shared" si="291"/>
        <v>#N/A</v>
      </c>
      <c r="Z361" s="273">
        <f t="shared" ref="Z361:Z362" si="321">ROUND(W361/0.75023,2)</f>
        <v>30.68</v>
      </c>
      <c r="AA361" s="496" t="e">
        <f>VLOOKUP($A361,[1]Planilha!$A$18:$BK$553,58,FALSE)</f>
        <v>#N/A</v>
      </c>
      <c r="AB361" s="496" t="e">
        <f t="shared" si="293"/>
        <v>#N/A</v>
      </c>
      <c r="AC361" s="273">
        <f t="shared" ref="AC361:AC362" si="322">ROUND(K361*0.922175,2)</f>
        <v>21.52</v>
      </c>
      <c r="AD361" s="496" t="e">
        <f>VLOOKUP($A361,[1]Planilha!$A$18:$BK$553,49,FALSE)</f>
        <v>#N/A</v>
      </c>
      <c r="AE361" s="496" t="e">
        <f t="shared" si="295"/>
        <v>#N/A</v>
      </c>
      <c r="AF361" s="274">
        <f t="shared" ref="AF361:AF362" si="323">ROUND(AC361/0.748624,2)</f>
        <v>28.75</v>
      </c>
      <c r="AG361" s="496" t="e">
        <f>VLOOKUP($A361,[1]Planilha!$A$18:$BK$553,57,FALSE)</f>
        <v>#N/A</v>
      </c>
      <c r="AH361" s="496" t="e">
        <f t="shared" si="297"/>
        <v>#N/A</v>
      </c>
    </row>
    <row r="362" spans="1:34" s="124" customFormat="1" ht="13.5" thickBot="1">
      <c r="A362" s="407">
        <v>7891721022845</v>
      </c>
      <c r="B362" s="408">
        <v>1008903580013</v>
      </c>
      <c r="C362" s="408">
        <v>3018884902</v>
      </c>
      <c r="D362" s="409" t="s">
        <v>583</v>
      </c>
      <c r="E362" s="403">
        <f t="shared" si="316"/>
        <v>39.86</v>
      </c>
      <c r="F362" s="496" t="e">
        <f>VLOOKUP($A362,[1]Planilha!$A$18:$BK$553,54,FALSE)</f>
        <v>#N/A</v>
      </c>
      <c r="G362" s="496" t="e">
        <f t="shared" si="282"/>
        <v>#N/A</v>
      </c>
      <c r="H362" s="403">
        <f>ROUND(E362/0.751296,2)</f>
        <v>53.05</v>
      </c>
      <c r="I362" s="496" t="e">
        <f>VLOOKUP($A362,[1]Planilha!$A$18:$BK$553,62,FALSE)</f>
        <v>#N/A</v>
      </c>
      <c r="J362" s="496" t="e">
        <f t="shared" si="284"/>
        <v>#N/A</v>
      </c>
      <c r="K362" s="573">
        <v>38.74</v>
      </c>
      <c r="L362" s="496" t="e">
        <f>VLOOKUP($A362,[1]Planilha!$A$18:$BK$553,52,FALSE)</f>
        <v>#N/A</v>
      </c>
      <c r="M362" s="496" t="e">
        <f t="shared" si="285"/>
        <v>#N/A</v>
      </c>
      <c r="N362" s="403">
        <f t="shared" si="317"/>
        <v>51.61</v>
      </c>
      <c r="O362" s="496" t="e">
        <f>VLOOKUP($A362,[1]Planilha!$A$18:$BK$553,60,FALSE)</f>
        <v>#N/A</v>
      </c>
      <c r="P362" s="496" t="e">
        <f t="shared" si="287"/>
        <v>#N/A</v>
      </c>
      <c r="Q362" s="403">
        <f t="shared" si="318"/>
        <v>38.47</v>
      </c>
      <c r="R362" s="496" t="e">
        <f>VLOOKUP($A362,[1]Planilha!$A$18:$BK$553,51,FALSE)</f>
        <v>#N/A</v>
      </c>
      <c r="S362" s="496" t="e">
        <f t="shared" si="288"/>
        <v>#N/A</v>
      </c>
      <c r="T362" s="403">
        <f t="shared" si="319"/>
        <v>51.27</v>
      </c>
      <c r="U362" s="496" t="e">
        <f>VLOOKUP($A362,[1]Planilha!$A$18:$BK$553,59,FALSE)</f>
        <v>#N/A</v>
      </c>
      <c r="V362" s="496" t="e">
        <f t="shared" si="289"/>
        <v>#N/A</v>
      </c>
      <c r="W362" s="403">
        <f t="shared" si="320"/>
        <v>38.200000000000003</v>
      </c>
      <c r="X362" s="496" t="e">
        <f>VLOOKUP($A362,[1]Planilha!$A$18:$BK$553,50,FALSE)</f>
        <v>#N/A</v>
      </c>
      <c r="Y362" s="496" t="e">
        <f t="shared" si="291"/>
        <v>#N/A</v>
      </c>
      <c r="Z362" s="403">
        <f t="shared" si="321"/>
        <v>50.92</v>
      </c>
      <c r="AA362" s="496" t="e">
        <f>VLOOKUP($A362,[1]Planilha!$A$18:$BK$553,58,FALSE)</f>
        <v>#N/A</v>
      </c>
      <c r="AB362" s="496" t="e">
        <f t="shared" si="293"/>
        <v>#N/A</v>
      </c>
      <c r="AC362" s="403">
        <f t="shared" si="322"/>
        <v>35.729999999999997</v>
      </c>
      <c r="AD362" s="496" t="e">
        <f>VLOOKUP($A362,[1]Planilha!$A$18:$BK$553,49,FALSE)</f>
        <v>#N/A</v>
      </c>
      <c r="AE362" s="496" t="e">
        <f t="shared" si="295"/>
        <v>#N/A</v>
      </c>
      <c r="AF362" s="410">
        <f t="shared" si="323"/>
        <v>47.73</v>
      </c>
      <c r="AG362" s="496" t="e">
        <f>VLOOKUP($A362,[1]Planilha!$A$18:$BK$553,57,FALSE)</f>
        <v>#N/A</v>
      </c>
      <c r="AH362" s="496" t="e">
        <f t="shared" si="297"/>
        <v>#N/A</v>
      </c>
    </row>
    <row r="363" spans="1:34" s="124" customFormat="1" ht="13.5" thickBot="1">
      <c r="A363" s="679"/>
      <c r="B363" s="170"/>
      <c r="C363" s="170"/>
      <c r="D363" s="171"/>
      <c r="E363" s="235"/>
      <c r="F363" s="261" t="e">
        <f>VLOOKUP($A363,[1]Planilha!$A$18:$BK$553,54,FALSE)</f>
        <v>#N/A</v>
      </c>
      <c r="G363" s="261" t="e">
        <f t="shared" si="282"/>
        <v>#N/A</v>
      </c>
      <c r="H363" s="236"/>
      <c r="I363" s="261" t="e">
        <f>VLOOKUP($A363,[1]Planilha!$A$18:$BK$553,62,FALSE)</f>
        <v>#N/A</v>
      </c>
      <c r="J363" s="261" t="e">
        <f t="shared" si="284"/>
        <v>#N/A</v>
      </c>
      <c r="K363" s="237"/>
      <c r="L363" s="261" t="e">
        <f>VLOOKUP($A363,[1]Planilha!$A$18:$BK$553,52,FALSE)</f>
        <v>#N/A</v>
      </c>
      <c r="M363" s="261" t="e">
        <f t="shared" si="285"/>
        <v>#N/A</v>
      </c>
      <c r="N363" s="236"/>
      <c r="O363" s="261" t="e">
        <f>VLOOKUP($A363,[1]Planilha!$A$18:$BK$553,60,FALSE)</f>
        <v>#N/A</v>
      </c>
      <c r="P363" s="261" t="e">
        <f t="shared" si="287"/>
        <v>#N/A</v>
      </c>
      <c r="Q363" s="238"/>
      <c r="R363" s="261" t="e">
        <f>VLOOKUP($A363,[1]Planilha!$A$18:$BK$553,51,FALSE)</f>
        <v>#N/A</v>
      </c>
      <c r="S363" s="261" t="e">
        <f t="shared" si="288"/>
        <v>#N/A</v>
      </c>
      <c r="T363" s="236"/>
      <c r="U363" s="261" t="e">
        <f>VLOOKUP($A363,[1]Planilha!$A$18:$BK$553,59,FALSE)</f>
        <v>#N/A</v>
      </c>
      <c r="V363" s="261" t="e">
        <f t="shared" si="289"/>
        <v>#N/A</v>
      </c>
      <c r="W363" s="238"/>
      <c r="X363" s="261" t="e">
        <f>VLOOKUP($A363,[1]Planilha!$A$18:$BK$553,50,FALSE)</f>
        <v>#N/A</v>
      </c>
      <c r="Y363" s="261" t="e">
        <f t="shared" si="291"/>
        <v>#N/A</v>
      </c>
      <c r="Z363" s="236"/>
      <c r="AA363" s="261" t="e">
        <f>VLOOKUP($A363,[1]Planilha!$A$18:$BK$553,58,FALSE)</f>
        <v>#N/A</v>
      </c>
      <c r="AB363" s="261" t="e">
        <f t="shared" si="293"/>
        <v>#N/A</v>
      </c>
      <c r="AC363" s="238"/>
      <c r="AD363" s="261" t="e">
        <f>VLOOKUP($A363,[1]Planilha!$A$18:$BK$553,49,FALSE)</f>
        <v>#N/A</v>
      </c>
      <c r="AE363" s="261" t="e">
        <f t="shared" si="295"/>
        <v>#N/A</v>
      </c>
      <c r="AF363" s="239"/>
      <c r="AG363" s="261" t="e">
        <f>VLOOKUP($A363,[1]Planilha!$A$18:$BK$553,57,FALSE)</f>
        <v>#N/A</v>
      </c>
      <c r="AH363" s="261" t="e">
        <f t="shared" si="297"/>
        <v>#N/A</v>
      </c>
    </row>
    <row r="364" spans="1:34" s="124" customFormat="1" ht="18.75" customHeight="1" thickBot="1">
      <c r="A364" s="680" t="s">
        <v>295</v>
      </c>
      <c r="B364" s="451" t="s">
        <v>609</v>
      </c>
      <c r="C364" s="452"/>
      <c r="D364" s="453"/>
      <c r="E364" s="454" t="s">
        <v>741</v>
      </c>
      <c r="F364" s="261" t="e">
        <f>VLOOKUP($A364,[1]Planilha!$A$18:$BK$553,54,FALSE)</f>
        <v>#N/A</v>
      </c>
      <c r="G364" s="261" t="e">
        <f t="shared" si="282"/>
        <v>#VALUE!</v>
      </c>
      <c r="H364" s="455"/>
      <c r="I364" s="261" t="e">
        <f>VLOOKUP($A364,[1]Planilha!$A$18:$BK$553,62,FALSE)</f>
        <v>#N/A</v>
      </c>
      <c r="J364" s="261" t="e">
        <f t="shared" si="284"/>
        <v>#N/A</v>
      </c>
      <c r="K364" s="454" t="s">
        <v>292</v>
      </c>
      <c r="L364" s="261" t="e">
        <f>VLOOKUP($A364,[1]Planilha!$A$18:$BK$553,52,FALSE)</f>
        <v>#N/A</v>
      </c>
      <c r="M364" s="261" t="e">
        <f t="shared" si="285"/>
        <v>#VALUE!</v>
      </c>
      <c r="N364" s="455"/>
      <c r="O364" s="261" t="e">
        <f>VLOOKUP($A364,[1]Planilha!$A$18:$BK$553,60,FALSE)</f>
        <v>#N/A</v>
      </c>
      <c r="P364" s="261" t="e">
        <f t="shared" si="287"/>
        <v>#N/A</v>
      </c>
      <c r="Q364" s="456" t="s">
        <v>740</v>
      </c>
      <c r="R364" s="261" t="e">
        <f>VLOOKUP($A364,[1]Planilha!$A$18:$BK$553,51,FALSE)</f>
        <v>#N/A</v>
      </c>
      <c r="S364" s="261" t="e">
        <f t="shared" si="288"/>
        <v>#VALUE!</v>
      </c>
      <c r="T364" s="455"/>
      <c r="U364" s="261" t="e">
        <f>VLOOKUP($A364,[1]Planilha!$A$18:$BK$553,59,FALSE)</f>
        <v>#N/A</v>
      </c>
      <c r="V364" s="261" t="e">
        <f t="shared" si="289"/>
        <v>#N/A</v>
      </c>
      <c r="W364" s="456" t="s">
        <v>293</v>
      </c>
      <c r="X364" s="261" t="e">
        <f>VLOOKUP($A364,[1]Planilha!$A$18:$BK$553,50,FALSE)</f>
        <v>#N/A</v>
      </c>
      <c r="Y364" s="261" t="e">
        <f t="shared" si="291"/>
        <v>#VALUE!</v>
      </c>
      <c r="Z364" s="455"/>
      <c r="AA364" s="261" t="e">
        <f>VLOOKUP($A364,[1]Planilha!$A$18:$BK$553,58,FALSE)</f>
        <v>#N/A</v>
      </c>
      <c r="AB364" s="261" t="e">
        <f t="shared" si="293"/>
        <v>#N/A</v>
      </c>
      <c r="AC364" s="456" t="s">
        <v>322</v>
      </c>
      <c r="AD364" s="261" t="e">
        <f>VLOOKUP($A364,[1]Planilha!$A$18:$BK$553,49,FALSE)</f>
        <v>#N/A</v>
      </c>
      <c r="AE364" s="261" t="e">
        <f t="shared" si="295"/>
        <v>#VALUE!</v>
      </c>
      <c r="AF364" s="459"/>
      <c r="AG364" s="261" t="e">
        <f>VLOOKUP($A364,[1]Planilha!$A$18:$BK$553,57,FALSE)</f>
        <v>#N/A</v>
      </c>
      <c r="AH364" s="261" t="e">
        <f t="shared" si="297"/>
        <v>#N/A</v>
      </c>
    </row>
    <row r="365" spans="1:34" s="124" customFormat="1" ht="12.75" customHeight="1">
      <c r="A365" s="449" t="s">
        <v>296</v>
      </c>
      <c r="B365" s="115" t="s">
        <v>13</v>
      </c>
      <c r="C365" s="119" t="s">
        <v>83</v>
      </c>
      <c r="D365" s="131"/>
      <c r="E365" s="248" t="s">
        <v>81</v>
      </c>
      <c r="F365" s="261" t="e">
        <f>VLOOKUP($A365,[1]Planilha!$A$18:$BK$553,54,FALSE)</f>
        <v>#N/A</v>
      </c>
      <c r="G365" s="261" t="e">
        <f t="shared" si="282"/>
        <v>#VALUE!</v>
      </c>
      <c r="H365" s="249" t="s">
        <v>82</v>
      </c>
      <c r="I365" s="261" t="e">
        <f>VLOOKUP($A365,[1]Planilha!$A$18:$BK$553,62,FALSE)</f>
        <v>#N/A</v>
      </c>
      <c r="J365" s="261" t="e">
        <f t="shared" si="284"/>
        <v>#VALUE!</v>
      </c>
      <c r="K365" s="248" t="s">
        <v>81</v>
      </c>
      <c r="L365" s="261" t="e">
        <f>VLOOKUP($A365,[1]Planilha!$A$18:$BK$553,52,FALSE)</f>
        <v>#N/A</v>
      </c>
      <c r="M365" s="261" t="e">
        <f t="shared" si="285"/>
        <v>#VALUE!</v>
      </c>
      <c r="N365" s="249" t="s">
        <v>82</v>
      </c>
      <c r="O365" s="261" t="e">
        <f>VLOOKUP($A365,[1]Planilha!$A$18:$BK$553,60,FALSE)</f>
        <v>#N/A</v>
      </c>
      <c r="P365" s="261" t="e">
        <f t="shared" si="287"/>
        <v>#VALUE!</v>
      </c>
      <c r="Q365" s="248" t="s">
        <v>81</v>
      </c>
      <c r="R365" s="261" t="e">
        <f>VLOOKUP($A365,[1]Planilha!$A$18:$BK$553,51,FALSE)</f>
        <v>#N/A</v>
      </c>
      <c r="S365" s="261" t="e">
        <f t="shared" si="288"/>
        <v>#VALUE!</v>
      </c>
      <c r="T365" s="249" t="s">
        <v>82</v>
      </c>
      <c r="U365" s="261" t="e">
        <f>VLOOKUP($A365,[1]Planilha!$A$18:$BK$553,59,FALSE)</f>
        <v>#N/A</v>
      </c>
      <c r="V365" s="261" t="e">
        <f t="shared" si="289"/>
        <v>#VALUE!</v>
      </c>
      <c r="W365" s="248" t="s">
        <v>81</v>
      </c>
      <c r="X365" s="261" t="e">
        <f>VLOOKUP($A365,[1]Planilha!$A$18:$BK$553,50,FALSE)</f>
        <v>#N/A</v>
      </c>
      <c r="Y365" s="261" t="e">
        <f t="shared" si="291"/>
        <v>#VALUE!</v>
      </c>
      <c r="Z365" s="249" t="s">
        <v>82</v>
      </c>
      <c r="AA365" s="261" t="e">
        <f>VLOOKUP($A365,[1]Planilha!$A$18:$BK$553,58,FALSE)</f>
        <v>#N/A</v>
      </c>
      <c r="AB365" s="261" t="e">
        <f t="shared" si="293"/>
        <v>#VALUE!</v>
      </c>
      <c r="AC365" s="248" t="s">
        <v>81</v>
      </c>
      <c r="AD365" s="261" t="e">
        <f>VLOOKUP($A365,[1]Planilha!$A$18:$BK$553,49,FALSE)</f>
        <v>#N/A</v>
      </c>
      <c r="AE365" s="261" t="e">
        <f t="shared" si="295"/>
        <v>#VALUE!</v>
      </c>
      <c r="AF365" s="250" t="s">
        <v>82</v>
      </c>
      <c r="AG365" s="261" t="e">
        <f>VLOOKUP($A365,[1]Planilha!$A$18:$BK$553,57,FALSE)</f>
        <v>#N/A</v>
      </c>
      <c r="AH365" s="261" t="e">
        <f t="shared" si="297"/>
        <v>#VALUE!</v>
      </c>
    </row>
    <row r="366" spans="1:34" s="124" customFormat="1" ht="13.5" customHeight="1" thickBot="1">
      <c r="A366" s="450"/>
      <c r="B366" s="155" t="s">
        <v>14</v>
      </c>
      <c r="C366" s="156" t="s">
        <v>379</v>
      </c>
      <c r="D366" s="163" t="s">
        <v>84</v>
      </c>
      <c r="E366" s="251" t="s">
        <v>85</v>
      </c>
      <c r="F366" s="261" t="e">
        <f>VLOOKUP($A366,[1]Planilha!$A$18:$BK$553,54,FALSE)</f>
        <v>#N/A</v>
      </c>
      <c r="G366" s="261" t="e">
        <f t="shared" si="282"/>
        <v>#VALUE!</v>
      </c>
      <c r="H366" s="252" t="s">
        <v>297</v>
      </c>
      <c r="I366" s="261" t="e">
        <f>VLOOKUP($A366,[1]Planilha!$A$18:$BK$553,62,FALSE)</f>
        <v>#N/A</v>
      </c>
      <c r="J366" s="261" t="e">
        <f t="shared" si="284"/>
        <v>#VALUE!</v>
      </c>
      <c r="K366" s="251" t="s">
        <v>85</v>
      </c>
      <c r="L366" s="261" t="e">
        <f>VLOOKUP($A366,[1]Planilha!$A$18:$BK$553,52,FALSE)</f>
        <v>#N/A</v>
      </c>
      <c r="M366" s="261" t="e">
        <f t="shared" si="285"/>
        <v>#VALUE!</v>
      </c>
      <c r="N366" s="252" t="s">
        <v>297</v>
      </c>
      <c r="O366" s="261" t="e">
        <f>VLOOKUP($A366,[1]Planilha!$A$18:$BK$553,60,FALSE)</f>
        <v>#N/A</v>
      </c>
      <c r="P366" s="261" t="e">
        <f t="shared" si="287"/>
        <v>#VALUE!</v>
      </c>
      <c r="Q366" s="251" t="s">
        <v>85</v>
      </c>
      <c r="R366" s="261" t="e">
        <f>VLOOKUP($A366,[1]Planilha!$A$18:$BK$553,51,FALSE)</f>
        <v>#N/A</v>
      </c>
      <c r="S366" s="261" t="e">
        <f t="shared" si="288"/>
        <v>#VALUE!</v>
      </c>
      <c r="T366" s="252" t="s">
        <v>297</v>
      </c>
      <c r="U366" s="261" t="e">
        <f>VLOOKUP($A366,[1]Planilha!$A$18:$BK$553,59,FALSE)</f>
        <v>#N/A</v>
      </c>
      <c r="V366" s="261" t="e">
        <f t="shared" si="289"/>
        <v>#VALUE!</v>
      </c>
      <c r="W366" s="251" t="s">
        <v>85</v>
      </c>
      <c r="X366" s="261" t="e">
        <f>VLOOKUP($A366,[1]Planilha!$A$18:$BK$553,50,FALSE)</f>
        <v>#N/A</v>
      </c>
      <c r="Y366" s="261" t="e">
        <f t="shared" si="291"/>
        <v>#VALUE!</v>
      </c>
      <c r="Z366" s="252" t="s">
        <v>297</v>
      </c>
      <c r="AA366" s="261" t="e">
        <f>VLOOKUP($A366,[1]Planilha!$A$18:$BK$553,58,FALSE)</f>
        <v>#N/A</v>
      </c>
      <c r="AB366" s="261" t="e">
        <f t="shared" si="293"/>
        <v>#VALUE!</v>
      </c>
      <c r="AC366" s="251" t="s">
        <v>85</v>
      </c>
      <c r="AD366" s="261" t="e">
        <f>VLOOKUP($A366,[1]Planilha!$A$18:$BK$553,49,FALSE)</f>
        <v>#N/A</v>
      </c>
      <c r="AE366" s="261" t="e">
        <f t="shared" si="295"/>
        <v>#VALUE!</v>
      </c>
      <c r="AF366" s="253" t="s">
        <v>297</v>
      </c>
      <c r="AG366" s="261" t="e">
        <f>VLOOKUP($A366,[1]Planilha!$A$18:$BK$553,57,FALSE)</f>
        <v>#N/A</v>
      </c>
      <c r="AH366" s="261" t="e">
        <f t="shared" si="297"/>
        <v>#VALUE!</v>
      </c>
    </row>
    <row r="367" spans="1:34" s="400" customFormat="1" ht="15">
      <c r="A367" s="394"/>
      <c r="B367" s="395" t="s">
        <v>705</v>
      </c>
      <c r="C367" s="395"/>
      <c r="D367" s="396"/>
      <c r="E367" s="397"/>
      <c r="F367" s="261" t="e">
        <f>VLOOKUP($A367,[1]Planilha!$A$18:$BK$553,54,FALSE)</f>
        <v>#N/A</v>
      </c>
      <c r="G367" s="261" t="e">
        <f t="shared" si="282"/>
        <v>#N/A</v>
      </c>
      <c r="H367" s="398"/>
      <c r="I367" s="261" t="e">
        <f>VLOOKUP($A367,[1]Planilha!$A$18:$BK$553,62,FALSE)</f>
        <v>#N/A</v>
      </c>
      <c r="J367" s="261" t="e">
        <f t="shared" si="284"/>
        <v>#N/A</v>
      </c>
      <c r="K367" s="273"/>
      <c r="L367" s="261" t="e">
        <f>VLOOKUP($A367,[1]Planilha!$A$18:$BK$553,52,FALSE)</f>
        <v>#N/A</v>
      </c>
      <c r="M367" s="261" t="e">
        <f t="shared" si="285"/>
        <v>#N/A</v>
      </c>
      <c r="N367" s="398"/>
      <c r="O367" s="261" t="e">
        <f>VLOOKUP($A367,[1]Planilha!$A$18:$BK$553,60,FALSE)</f>
        <v>#N/A</v>
      </c>
      <c r="P367" s="261" t="e">
        <f t="shared" si="287"/>
        <v>#N/A</v>
      </c>
      <c r="Q367" s="397"/>
      <c r="R367" s="261" t="e">
        <f>VLOOKUP($A367,[1]Planilha!$A$18:$BK$553,51,FALSE)</f>
        <v>#N/A</v>
      </c>
      <c r="S367" s="261" t="e">
        <f t="shared" si="288"/>
        <v>#N/A</v>
      </c>
      <c r="T367" s="398"/>
      <c r="U367" s="261" t="e">
        <f>VLOOKUP($A367,[1]Planilha!$A$18:$BK$553,59,FALSE)</f>
        <v>#N/A</v>
      </c>
      <c r="V367" s="261" t="e">
        <f t="shared" si="289"/>
        <v>#N/A</v>
      </c>
      <c r="W367" s="397"/>
      <c r="X367" s="261" t="e">
        <f>VLOOKUP($A367,[1]Planilha!$A$18:$BK$553,50,FALSE)</f>
        <v>#N/A</v>
      </c>
      <c r="Y367" s="261" t="e">
        <f t="shared" si="291"/>
        <v>#N/A</v>
      </c>
      <c r="Z367" s="398"/>
      <c r="AA367" s="261" t="e">
        <f>VLOOKUP($A367,[1]Planilha!$A$18:$BK$553,58,FALSE)</f>
        <v>#N/A</v>
      </c>
      <c r="AB367" s="261" t="e">
        <f t="shared" si="293"/>
        <v>#N/A</v>
      </c>
      <c r="AC367" s="397"/>
      <c r="AD367" s="261" t="e">
        <f>VLOOKUP($A367,[1]Planilha!$A$18:$BK$553,49,FALSE)</f>
        <v>#N/A</v>
      </c>
      <c r="AE367" s="261" t="e">
        <f t="shared" si="295"/>
        <v>#N/A</v>
      </c>
      <c r="AF367" s="399"/>
      <c r="AG367" s="261" t="e">
        <f>VLOOKUP($A367,[1]Planilha!$A$18:$BK$553,57,FALSE)</f>
        <v>#N/A</v>
      </c>
      <c r="AH367" s="261" t="e">
        <f t="shared" si="297"/>
        <v>#N/A</v>
      </c>
    </row>
    <row r="368" spans="1:34" s="400" customFormat="1">
      <c r="A368" s="401">
        <v>7891721029370</v>
      </c>
      <c r="B368" s="126">
        <v>4107703050015</v>
      </c>
      <c r="C368" s="123">
        <v>3080804902</v>
      </c>
      <c r="D368" s="402" t="s">
        <v>776</v>
      </c>
      <c r="E368" s="403">
        <f>ROUND(K368*1.027916,2)</f>
        <v>81.09</v>
      </c>
      <c r="F368" s="496" t="e">
        <f>VLOOKUP($A368,[1]Planilha!$A$18:$BK$553,54,FALSE)</f>
        <v>#N/A</v>
      </c>
      <c r="G368" s="496" t="e">
        <f t="shared" si="282"/>
        <v>#N/A</v>
      </c>
      <c r="H368" s="404" t="s">
        <v>563</v>
      </c>
      <c r="I368" s="496" t="e">
        <f>VLOOKUP($A368,[1]Planilha!$A$18:$BK$553,62,FALSE)</f>
        <v>#N/A</v>
      </c>
      <c r="J368" s="496" t="e">
        <f t="shared" si="284"/>
        <v>#VALUE!</v>
      </c>
      <c r="K368" s="273">
        <v>78.88337139368852</v>
      </c>
      <c r="L368" s="496" t="e">
        <f>VLOOKUP($A368,[1]Planilha!$A$18:$BK$553,52,FALSE)</f>
        <v>#N/A</v>
      </c>
      <c r="M368" s="496" t="e">
        <f t="shared" si="285"/>
        <v>#N/A</v>
      </c>
      <c r="N368" s="405" t="s">
        <v>563</v>
      </c>
      <c r="O368" s="496" t="e">
        <f>VLOOKUP($A368,[1]Planilha!$A$18:$BK$553,60,FALSE)</f>
        <v>#N/A</v>
      </c>
      <c r="P368" s="496" t="e">
        <f t="shared" si="287"/>
        <v>#VALUE!</v>
      </c>
      <c r="Q368" s="403">
        <f>ROUND(K368*0.993257,2)</f>
        <v>78.349999999999994</v>
      </c>
      <c r="R368" s="496" t="e">
        <f>VLOOKUP($A368,[1]Planilha!$A$18:$BK$553,51,FALSE)</f>
        <v>#N/A</v>
      </c>
      <c r="S368" s="496" t="e">
        <f t="shared" si="288"/>
        <v>#N/A</v>
      </c>
      <c r="T368" s="405" t="s">
        <v>563</v>
      </c>
      <c r="U368" s="496" t="e">
        <f>VLOOKUP($A368,[1]Planilha!$A$18:$BK$553,59,FALSE)</f>
        <v>#N/A</v>
      </c>
      <c r="V368" s="496" t="e">
        <f t="shared" si="289"/>
        <v>#VALUE!</v>
      </c>
      <c r="W368" s="403">
        <f>ROUND(K368*0.986604,2)</f>
        <v>77.83</v>
      </c>
      <c r="X368" s="496" t="e">
        <f>VLOOKUP($A368,[1]Planilha!$A$18:$BK$553,50,FALSE)</f>
        <v>#N/A</v>
      </c>
      <c r="Y368" s="496" t="e">
        <f t="shared" si="291"/>
        <v>#N/A</v>
      </c>
      <c r="Z368" s="405" t="s">
        <v>563</v>
      </c>
      <c r="AA368" s="496" t="e">
        <f>VLOOKUP($A368,[1]Planilha!$A$18:$BK$553,58,FALSE)</f>
        <v>#N/A</v>
      </c>
      <c r="AB368" s="496" t="e">
        <f t="shared" si="293"/>
        <v>#VALUE!</v>
      </c>
      <c r="AC368" s="403">
        <f>ROUND(K368*0.9246745,2)</f>
        <v>72.94</v>
      </c>
      <c r="AD368" s="496" t="e">
        <f>VLOOKUP($A368,[1]Planilha!$A$18:$BK$553,49,FALSE)</f>
        <v>#N/A</v>
      </c>
      <c r="AE368" s="496" t="e">
        <f t="shared" si="295"/>
        <v>#N/A</v>
      </c>
      <c r="AF368" s="406" t="s">
        <v>563</v>
      </c>
      <c r="AG368" s="496" t="e">
        <f>VLOOKUP($A368,[1]Planilha!$A$18:$BK$553,57,FALSE)</f>
        <v>#N/A</v>
      </c>
      <c r="AH368" s="496" t="e">
        <f t="shared" si="297"/>
        <v>#VALUE!</v>
      </c>
    </row>
    <row r="369" spans="1:34" s="124" customFormat="1" ht="13.5" thickBot="1">
      <c r="A369" s="407">
        <v>7891721028694</v>
      </c>
      <c r="B369" s="408">
        <v>4107703050015</v>
      </c>
      <c r="C369" s="408">
        <v>3080804901</v>
      </c>
      <c r="D369" s="409" t="s">
        <v>706</v>
      </c>
      <c r="E369" s="403">
        <f>ROUND(K369*1.027916,2)</f>
        <v>44.51</v>
      </c>
      <c r="F369" s="496" t="e">
        <f>VLOOKUP($A369,[1]Planilha!$A$18:$BK$553,54,FALSE)</f>
        <v>#N/A</v>
      </c>
      <c r="G369" s="496" t="e">
        <f t="shared" si="282"/>
        <v>#N/A</v>
      </c>
      <c r="H369" s="404" t="s">
        <v>563</v>
      </c>
      <c r="I369" s="496" t="e">
        <f>VLOOKUP($A369,[1]Planilha!$A$18:$BK$553,62,FALSE)</f>
        <v>#N/A</v>
      </c>
      <c r="J369" s="496" t="e">
        <f t="shared" si="284"/>
        <v>#VALUE!</v>
      </c>
      <c r="K369" s="273">
        <v>43.296809292179901</v>
      </c>
      <c r="L369" s="496" t="e">
        <f>VLOOKUP($A369,[1]Planilha!$A$18:$BK$553,52,FALSE)</f>
        <v>#N/A</v>
      </c>
      <c r="M369" s="496" t="e">
        <f t="shared" si="285"/>
        <v>#N/A</v>
      </c>
      <c r="N369" s="405" t="s">
        <v>563</v>
      </c>
      <c r="O369" s="496" t="e">
        <f>VLOOKUP($A369,[1]Planilha!$A$18:$BK$553,60,FALSE)</f>
        <v>#N/A</v>
      </c>
      <c r="P369" s="496" t="e">
        <f t="shared" si="287"/>
        <v>#VALUE!</v>
      </c>
      <c r="Q369" s="403">
        <f>ROUND(K369*0.993257,2)</f>
        <v>43</v>
      </c>
      <c r="R369" s="496" t="e">
        <f>VLOOKUP($A369,[1]Planilha!$A$18:$BK$553,51,FALSE)</f>
        <v>#N/A</v>
      </c>
      <c r="S369" s="496" t="e">
        <f t="shared" si="288"/>
        <v>#N/A</v>
      </c>
      <c r="T369" s="405" t="s">
        <v>563</v>
      </c>
      <c r="U369" s="496" t="e">
        <f>VLOOKUP($A369,[1]Planilha!$A$18:$BK$553,59,FALSE)</f>
        <v>#N/A</v>
      </c>
      <c r="V369" s="496" t="e">
        <f t="shared" si="289"/>
        <v>#VALUE!</v>
      </c>
      <c r="W369" s="403">
        <f>ROUND(K369*0.986604,2)</f>
        <v>42.72</v>
      </c>
      <c r="X369" s="496" t="e">
        <f>VLOOKUP($A369,[1]Planilha!$A$18:$BK$553,50,FALSE)</f>
        <v>#N/A</v>
      </c>
      <c r="Y369" s="496" t="e">
        <f t="shared" si="291"/>
        <v>#N/A</v>
      </c>
      <c r="Z369" s="405" t="s">
        <v>563</v>
      </c>
      <c r="AA369" s="496" t="e">
        <f>VLOOKUP($A369,[1]Planilha!$A$18:$BK$553,58,FALSE)</f>
        <v>#N/A</v>
      </c>
      <c r="AB369" s="496" t="e">
        <f t="shared" si="293"/>
        <v>#VALUE!</v>
      </c>
      <c r="AC369" s="403">
        <f>ROUND(K369*0.9246745,2)</f>
        <v>40.04</v>
      </c>
      <c r="AD369" s="496" t="e">
        <f>VLOOKUP($A369,[1]Planilha!$A$18:$BK$553,49,FALSE)</f>
        <v>#N/A</v>
      </c>
      <c r="AE369" s="496" t="e">
        <f t="shared" si="295"/>
        <v>#N/A</v>
      </c>
      <c r="AF369" s="406" t="s">
        <v>563</v>
      </c>
      <c r="AG369" s="496" t="e">
        <f>VLOOKUP($A369,[1]Planilha!$A$18:$BK$553,57,FALSE)</f>
        <v>#N/A</v>
      </c>
      <c r="AH369" s="496" t="e">
        <f t="shared" si="297"/>
        <v>#VALUE!</v>
      </c>
    </row>
  </sheetData>
  <autoFilter ref="A1:AH369"/>
  <mergeCells count="6">
    <mergeCell ref="A2:AF2"/>
    <mergeCell ref="E3:J3"/>
    <mergeCell ref="K3:P3"/>
    <mergeCell ref="Q3:V3"/>
    <mergeCell ref="W3:AB3"/>
    <mergeCell ref="AC3:AH3"/>
  </mergeCells>
  <dataValidations count="2">
    <dataValidation type="textLength" allowBlank="1" showInputMessage="1" showErrorMessage="1" sqref="A67:A68 A158 A251 A154 A213:A214 A248:A249 A166:A167">
      <formula1>9</formula1>
      <formula2>13</formula2>
    </dataValidation>
    <dataValidation type="textLength" operator="greaterThanOrEqual" allowBlank="1" showErrorMessage="1" promptTitle="Produto" prompt="Informar o nome do produto" sqref="A7 A70:A80 A104 A84:A85 A87:A91 A128 A93:A95 A28 A30:A32 A34:A40 A97:A101 A64:A65 A26 A20:A22 A9:A10 A118:A120 A122 A109:A110 A82 A61:A62 A112 A106:A107 A134 A12:A14 A16:A18 A42:A55 A139 A144:A145 A182 A180 A164 A161:A162 A150:A151 A155 A153 A159 A190 A157 A246 A220:A224 A238:A241 A216:A217 A177:A178 A211 A184 A186 A192:A194 A188 A196:A206 A171:A175 A234:A235 A226:A228 A230:A231 A169 A281:A282 A256:A272 A303:A309 A362 A294:A298 A300:A301 A369 A315:A316 A336:A340 A318:A323 A352:A355 A343:A346 A325:A334">
      <formula1>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53"/>
  <sheetViews>
    <sheetView tabSelected="1" topLeftCell="D55" workbookViewId="0">
      <selection activeCell="E62" sqref="E62:N63"/>
    </sheetView>
  </sheetViews>
  <sheetFormatPr defaultRowHeight="12.75"/>
  <cols>
    <col min="1" max="1" width="19.28515625" customWidth="1"/>
    <col min="2" max="2" width="24.42578125" customWidth="1"/>
    <col min="3" max="3" width="16.5703125" customWidth="1"/>
    <col min="4" max="4" width="79.140625" customWidth="1"/>
  </cols>
  <sheetData>
    <row r="4" spans="1:26" s="150" customFormat="1" ht="18.75" thickBot="1">
      <c r="A4" s="698" t="s">
        <v>779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</row>
    <row r="5" spans="1:26" s="510" customFormat="1" ht="18.75" customHeight="1">
      <c r="A5" s="550" t="s">
        <v>295</v>
      </c>
      <c r="B5" s="712" t="s">
        <v>281</v>
      </c>
      <c r="C5" s="713"/>
      <c r="D5" s="714"/>
      <c r="E5" s="710" t="s">
        <v>741</v>
      </c>
      <c r="F5" s="711"/>
      <c r="G5" s="710" t="s">
        <v>292</v>
      </c>
      <c r="H5" s="711"/>
      <c r="I5" s="710" t="s">
        <v>740</v>
      </c>
      <c r="J5" s="711"/>
      <c r="K5" s="710" t="s">
        <v>293</v>
      </c>
      <c r="L5" s="711"/>
      <c r="M5" s="710" t="s">
        <v>322</v>
      </c>
      <c r="N5" s="711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</row>
    <row r="6" spans="1:26" s="514" customFormat="1" ht="12.75" customHeight="1">
      <c r="A6" s="551" t="s">
        <v>296</v>
      </c>
      <c r="B6" s="580" t="s">
        <v>13</v>
      </c>
      <c r="C6" s="511" t="s">
        <v>83</v>
      </c>
      <c r="D6" s="588"/>
      <c r="E6" s="512" t="s">
        <v>81</v>
      </c>
      <c r="F6" s="512" t="s">
        <v>82</v>
      </c>
      <c r="G6" s="568" t="s">
        <v>81</v>
      </c>
      <c r="H6" s="109" t="s">
        <v>82</v>
      </c>
      <c r="I6" s="512" t="s">
        <v>81</v>
      </c>
      <c r="J6" s="512" t="s">
        <v>82</v>
      </c>
      <c r="K6" s="568" t="s">
        <v>81</v>
      </c>
      <c r="L6" s="109" t="s">
        <v>82</v>
      </c>
      <c r="M6" s="513" t="s">
        <v>81</v>
      </c>
      <c r="N6" s="151" t="s">
        <v>82</v>
      </c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</row>
    <row r="7" spans="1:26" s="514" customFormat="1" ht="13.5" customHeight="1">
      <c r="A7" s="552"/>
      <c r="B7" s="581" t="s">
        <v>14</v>
      </c>
      <c r="C7" s="511" t="s">
        <v>379</v>
      </c>
      <c r="D7" s="588" t="s">
        <v>84</v>
      </c>
      <c r="E7" s="512" t="s">
        <v>85</v>
      </c>
      <c r="F7" s="512" t="s">
        <v>297</v>
      </c>
      <c r="G7" s="568" t="s">
        <v>85</v>
      </c>
      <c r="H7" s="109" t="s">
        <v>297</v>
      </c>
      <c r="I7" s="512" t="s">
        <v>85</v>
      </c>
      <c r="J7" s="512" t="s">
        <v>297</v>
      </c>
      <c r="K7" s="568" t="s">
        <v>85</v>
      </c>
      <c r="L7" s="109" t="s">
        <v>297</v>
      </c>
      <c r="M7" s="513" t="s">
        <v>85</v>
      </c>
      <c r="N7" s="151" t="s">
        <v>297</v>
      </c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</row>
    <row r="8" spans="1:26" s="514" customFormat="1" ht="15">
      <c r="A8" s="553"/>
      <c r="B8" s="704" t="s">
        <v>300</v>
      </c>
      <c r="C8" s="705"/>
      <c r="D8" s="706"/>
      <c r="E8" s="504"/>
      <c r="F8" s="504"/>
      <c r="G8" s="569"/>
      <c r="H8" s="505"/>
      <c r="I8" s="504"/>
      <c r="J8" s="504"/>
      <c r="K8" s="569"/>
      <c r="L8" s="505"/>
      <c r="M8" s="504"/>
      <c r="N8" s="505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</row>
    <row r="9" spans="1:26" s="514" customFormat="1">
      <c r="A9" s="561">
        <v>7891721000423</v>
      </c>
      <c r="B9" s="583">
        <v>1008901840018</v>
      </c>
      <c r="C9" s="139" t="s">
        <v>382</v>
      </c>
      <c r="D9" s="594" t="s">
        <v>289</v>
      </c>
      <c r="E9" s="506">
        <f>ROUND(G9*1.025,2)</f>
        <v>18.39</v>
      </c>
      <c r="F9" s="506">
        <f>ROUND(E9/0.723358,2)</f>
        <v>25.42</v>
      </c>
      <c r="G9" s="578">
        <v>17.945388000000001</v>
      </c>
      <c r="H9" s="562">
        <f>ROUND(G9/0.723358,2)</f>
        <v>24.81</v>
      </c>
      <c r="I9" s="506">
        <f>ROUND(G9*0.993939,2)</f>
        <v>17.84</v>
      </c>
      <c r="J9" s="506">
        <f>ROUND(I9/0.723358,2)</f>
        <v>24.66</v>
      </c>
      <c r="K9" s="578">
        <f>ROUND(G9*0.987952,2)</f>
        <v>17.73</v>
      </c>
      <c r="L9" s="562">
        <f>ROUND(K9/0.723358,2)</f>
        <v>24.51</v>
      </c>
      <c r="M9" s="506">
        <f>ROUND(G9*0.931818,2)</f>
        <v>16.72</v>
      </c>
      <c r="N9" s="562">
        <f>ROUND(M9/0.723358,2)</f>
        <v>23.11</v>
      </c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</row>
    <row r="10" spans="1:26" s="514" customFormat="1" ht="15">
      <c r="A10" s="553"/>
      <c r="B10" s="704" t="s">
        <v>311</v>
      </c>
      <c r="C10" s="705"/>
      <c r="D10" s="706"/>
      <c r="E10" s="504"/>
      <c r="F10" s="504"/>
      <c r="G10" s="569"/>
      <c r="H10" s="505"/>
      <c r="I10" s="504"/>
      <c r="J10" s="504"/>
      <c r="K10" s="569"/>
      <c r="L10" s="505"/>
      <c r="M10" s="504"/>
      <c r="N10" s="505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</row>
    <row r="11" spans="1:26" s="514" customFormat="1">
      <c r="A11" s="561">
        <v>7891721000225</v>
      </c>
      <c r="B11" s="583">
        <v>1008901680053</v>
      </c>
      <c r="C11" s="139" t="s">
        <v>383</v>
      </c>
      <c r="D11" s="601" t="s">
        <v>611</v>
      </c>
      <c r="E11" s="506">
        <f>G11</f>
        <v>40.229784000000002</v>
      </c>
      <c r="F11" s="506">
        <f>H11</f>
        <v>55.61</v>
      </c>
      <c r="G11" s="578">
        <v>40.229784000000002</v>
      </c>
      <c r="H11" s="562">
        <v>55.61</v>
      </c>
      <c r="I11" s="506">
        <f>ROUND(G11*0.993939,2)</f>
        <v>39.99</v>
      </c>
      <c r="J11" s="506">
        <f>ROUND(I11/0.723358,2)</f>
        <v>55.28</v>
      </c>
      <c r="K11" s="578">
        <v>39.74</v>
      </c>
      <c r="L11" s="562">
        <f>ROUND(K11/0.723358,2)</f>
        <v>54.94</v>
      </c>
      <c r="M11" s="506">
        <f>ROUND(G11*0.931818,2)</f>
        <v>37.49</v>
      </c>
      <c r="N11" s="562">
        <f>ROUND(M11/0.723358,2)</f>
        <v>51.83</v>
      </c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</row>
    <row r="12" spans="1:26" s="514" customFormat="1">
      <c r="A12" s="561">
        <v>7891721000300</v>
      </c>
      <c r="B12" s="583">
        <v>1008901680029</v>
      </c>
      <c r="C12" s="139" t="s">
        <v>384</v>
      </c>
      <c r="D12" s="594" t="s">
        <v>612</v>
      </c>
      <c r="E12" s="506">
        <f>G12</f>
        <v>29.789704000000004</v>
      </c>
      <c r="F12" s="506">
        <f t="shared" ref="F12" si="0">H12</f>
        <v>41.18</v>
      </c>
      <c r="G12" s="578">
        <v>29.789704000000004</v>
      </c>
      <c r="H12" s="562">
        <f>ROUND(G12/0.723358,2)</f>
        <v>41.18</v>
      </c>
      <c r="I12" s="506">
        <f>ROUND(G12*0.993939,2)</f>
        <v>29.61</v>
      </c>
      <c r="J12" s="506">
        <f>ROUND(I12/0.723358,2)</f>
        <v>40.93</v>
      </c>
      <c r="K12" s="578">
        <f>ROUND(G12*0.987952,2)</f>
        <v>29.43</v>
      </c>
      <c r="L12" s="562">
        <f>ROUND(K12/0.723358,2)</f>
        <v>40.69</v>
      </c>
      <c r="M12" s="506">
        <f>ROUND(G12*0.931818,2)</f>
        <v>27.76</v>
      </c>
      <c r="N12" s="562">
        <f>ROUND(M12/0.723358,2)</f>
        <v>38.380000000000003</v>
      </c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</row>
    <row r="13" spans="1:26" s="514" customFormat="1" ht="15">
      <c r="A13" s="553"/>
      <c r="B13" s="585" t="s">
        <v>282</v>
      </c>
      <c r="C13" s="523"/>
      <c r="D13" s="593"/>
      <c r="E13" s="504"/>
      <c r="F13" s="504"/>
      <c r="G13" s="569"/>
      <c r="H13" s="505"/>
      <c r="I13" s="504"/>
      <c r="J13" s="504"/>
      <c r="K13" s="569"/>
      <c r="L13" s="505"/>
      <c r="M13" s="504"/>
      <c r="N13" s="505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</row>
    <row r="14" spans="1:26" s="514" customFormat="1">
      <c r="A14" s="561">
        <v>7891721002038</v>
      </c>
      <c r="B14" s="583">
        <v>1008902010078</v>
      </c>
      <c r="C14" s="139" t="s">
        <v>385</v>
      </c>
      <c r="D14" s="594" t="s">
        <v>358</v>
      </c>
      <c r="E14" s="506">
        <f t="shared" ref="E14:E24" si="1">ROUND(G14*1.025,2)</f>
        <v>56.32</v>
      </c>
      <c r="F14" s="506">
        <f>ROUND(E14/0.723358,2)</f>
        <v>77.86</v>
      </c>
      <c r="G14" s="578">
        <v>54.947256000000003</v>
      </c>
      <c r="H14" s="562">
        <f>ROUND(G14/0.723358,2)</f>
        <v>75.959999999999994</v>
      </c>
      <c r="I14" s="506">
        <f>ROUND(G14*0.993939,2)</f>
        <v>54.61</v>
      </c>
      <c r="J14" s="506">
        <f>ROUND(I14/0.723358,2)</f>
        <v>75.5</v>
      </c>
      <c r="K14" s="578">
        <v>54.28</v>
      </c>
      <c r="L14" s="562">
        <f>ROUND(K14/0.723358,2)</f>
        <v>75.040000000000006</v>
      </c>
      <c r="M14" s="506">
        <f>ROUND(G14*0.931818,2)</f>
        <v>51.2</v>
      </c>
      <c r="N14" s="562">
        <f>ROUND(M14/0.723358,2)</f>
        <v>70.78</v>
      </c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</row>
    <row r="15" spans="1:26" s="514" customFormat="1">
      <c r="A15" s="561">
        <v>7891721002045</v>
      </c>
      <c r="B15" s="583">
        <v>1008902010086</v>
      </c>
      <c r="C15" s="139" t="s">
        <v>386</v>
      </c>
      <c r="D15" s="594" t="s">
        <v>359</v>
      </c>
      <c r="E15" s="506">
        <f t="shared" si="1"/>
        <v>73.25</v>
      </c>
      <c r="F15" s="506">
        <f>ROUND(E15/0.723358,2)</f>
        <v>101.26</v>
      </c>
      <c r="G15" s="578">
        <v>71.458800000000011</v>
      </c>
      <c r="H15" s="562">
        <f>ROUND(G15/0.723358,2)</f>
        <v>98.79</v>
      </c>
      <c r="I15" s="506">
        <v>71.02</v>
      </c>
      <c r="J15" s="506">
        <f>ROUND(I15/0.723358,2)</f>
        <v>98.18</v>
      </c>
      <c r="K15" s="578">
        <f>ROUND(G15*0.987952,2)</f>
        <v>70.599999999999994</v>
      </c>
      <c r="L15" s="562">
        <f>ROUND(K15/0.723358,2)</f>
        <v>97.6</v>
      </c>
      <c r="M15" s="506">
        <f>ROUND(G15*0.931818,2)</f>
        <v>66.59</v>
      </c>
      <c r="N15" s="562">
        <f>ROUND(M15/0.723358,2)</f>
        <v>92.06</v>
      </c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</row>
    <row r="16" spans="1:26" s="514" customFormat="1">
      <c r="A16" s="561">
        <v>7891721002052</v>
      </c>
      <c r="B16" s="583">
        <v>1008902010094</v>
      </c>
      <c r="C16" s="139" t="s">
        <v>387</v>
      </c>
      <c r="D16" s="601" t="s">
        <v>360</v>
      </c>
      <c r="E16" s="506">
        <f t="shared" si="1"/>
        <v>74.23</v>
      </c>
      <c r="F16" s="506">
        <f>ROUND(E16/0.723358,2)</f>
        <v>102.62</v>
      </c>
      <c r="G16" s="578">
        <v>72.421720000000008</v>
      </c>
      <c r="H16" s="562">
        <f>ROUND(G16/0.723358,2)</f>
        <v>100.12</v>
      </c>
      <c r="I16" s="506">
        <f>ROUND(G16*0.993939,2)</f>
        <v>71.98</v>
      </c>
      <c r="J16" s="506">
        <f>ROUND(I16/0.723358,2)</f>
        <v>99.51</v>
      </c>
      <c r="K16" s="578">
        <f>ROUND(G16*0.987952,2)</f>
        <v>71.55</v>
      </c>
      <c r="L16" s="562">
        <f>ROUND(K16/0.723358,2)</f>
        <v>98.91</v>
      </c>
      <c r="M16" s="506">
        <f>ROUND(G16*0.931818,2)</f>
        <v>67.48</v>
      </c>
      <c r="N16" s="562">
        <f>ROUND(M16/0.723358,2)</f>
        <v>93.29</v>
      </c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</row>
    <row r="17" spans="1:26" s="514" customFormat="1" ht="15">
      <c r="A17" s="553"/>
      <c r="B17" s="704" t="s">
        <v>765</v>
      </c>
      <c r="C17" s="705"/>
      <c r="D17" s="706"/>
      <c r="E17" s="504"/>
      <c r="F17" s="504"/>
      <c r="G17" s="569"/>
      <c r="H17" s="505"/>
      <c r="I17" s="504"/>
      <c r="J17" s="504"/>
      <c r="K17" s="569"/>
      <c r="L17" s="505"/>
      <c r="M17" s="504"/>
      <c r="N17" s="505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</row>
    <row r="18" spans="1:26" s="514" customFormat="1">
      <c r="A18" s="561">
        <v>7896004754505</v>
      </c>
      <c r="B18" s="583">
        <v>1356906660025</v>
      </c>
      <c r="C18" s="139">
        <v>3296260001</v>
      </c>
      <c r="D18" s="594" t="s">
        <v>767</v>
      </c>
      <c r="E18" s="506">
        <f t="shared" si="1"/>
        <v>85.91</v>
      </c>
      <c r="F18" s="506">
        <f>ROUND(E18/0.723358,2)</f>
        <v>118.77</v>
      </c>
      <c r="G18" s="578">
        <v>83.818476000000018</v>
      </c>
      <c r="H18" s="562">
        <f>ROUND(G18/0.723358,2)</f>
        <v>115.87</v>
      </c>
      <c r="I18" s="506">
        <f>ROUND(G18*0.993939,2)</f>
        <v>83.31</v>
      </c>
      <c r="J18" s="506">
        <f>ROUND(I18/0.723358,2)</f>
        <v>115.17</v>
      </c>
      <c r="K18" s="578">
        <f>ROUND(G18*0.987952,2)</f>
        <v>82.81</v>
      </c>
      <c r="L18" s="562">
        <f>ROUND(K18/0.723358,2)</f>
        <v>114.48</v>
      </c>
      <c r="M18" s="506">
        <f>ROUND(G18*0.931818,2)</f>
        <v>78.099999999999994</v>
      </c>
      <c r="N18" s="562">
        <f>ROUND(M18/0.723358,2)</f>
        <v>107.97</v>
      </c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</row>
    <row r="19" spans="1:26" s="514" customFormat="1">
      <c r="A19" s="561">
        <v>7896004755847</v>
      </c>
      <c r="B19" s="583">
        <v>1356906660068</v>
      </c>
      <c r="C19" s="139">
        <v>3296340002</v>
      </c>
      <c r="D19" s="594" t="s">
        <v>768</v>
      </c>
      <c r="E19" s="506">
        <f t="shared" si="1"/>
        <v>61.21</v>
      </c>
      <c r="F19" s="506">
        <f>ROUND(E19/0.723358,2)</f>
        <v>84.62</v>
      </c>
      <c r="G19" s="578">
        <v>59.713200000000008</v>
      </c>
      <c r="H19" s="562">
        <f>ROUND(G19/0.723358,2)</f>
        <v>82.55</v>
      </c>
      <c r="I19" s="506">
        <f>ROUND(G19*0.993939,2)</f>
        <v>59.35</v>
      </c>
      <c r="J19" s="506">
        <f>ROUND(I19/0.723358,2)</f>
        <v>82.05</v>
      </c>
      <c r="K19" s="578">
        <f>ROUND(G19*0.987952,2)</f>
        <v>58.99</v>
      </c>
      <c r="L19" s="562">
        <f>ROUND(K19/0.723358,2)</f>
        <v>81.55</v>
      </c>
      <c r="M19" s="506">
        <f>ROUND(G19*0.931818,2)</f>
        <v>55.64</v>
      </c>
      <c r="N19" s="562">
        <f>ROUND(M19/0.723358,2)</f>
        <v>76.92</v>
      </c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547"/>
    </row>
    <row r="20" spans="1:26" s="514" customFormat="1">
      <c r="A20" s="561">
        <v>7896004754499</v>
      </c>
      <c r="B20" s="583">
        <v>1356906660076</v>
      </c>
      <c r="C20" s="139">
        <v>3296340001</v>
      </c>
      <c r="D20" s="601" t="s">
        <v>769</v>
      </c>
      <c r="E20" s="506">
        <f t="shared" si="1"/>
        <v>91.82</v>
      </c>
      <c r="F20" s="506">
        <f>ROUND(E20/0.723358,2)</f>
        <v>126.94</v>
      </c>
      <c r="G20" s="578">
        <v>89.580276000000012</v>
      </c>
      <c r="H20" s="562">
        <f>ROUND(G20/0.723358,2)</f>
        <v>123.84</v>
      </c>
      <c r="I20" s="506">
        <f>ROUND(G20*0.993939,2)</f>
        <v>89.04</v>
      </c>
      <c r="J20" s="506">
        <f>ROUND(I20/0.723358,2)</f>
        <v>123.09</v>
      </c>
      <c r="K20" s="578">
        <f>ROUND(G20*0.987952,2)</f>
        <v>88.5</v>
      </c>
      <c r="L20" s="562">
        <f>ROUND(K20/0.723358,2)</f>
        <v>122.35</v>
      </c>
      <c r="M20" s="506">
        <f>ROUND(G20*0.931818,2)</f>
        <v>83.47</v>
      </c>
      <c r="N20" s="562">
        <f>ROUND(M20/0.723358,2)</f>
        <v>115.39</v>
      </c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</row>
    <row r="21" spans="1:26" s="514" customFormat="1" ht="15">
      <c r="A21" s="553"/>
      <c r="B21" s="585" t="s">
        <v>766</v>
      </c>
      <c r="C21" s="523"/>
      <c r="D21" s="593"/>
      <c r="E21" s="504"/>
      <c r="F21" s="504"/>
      <c r="G21" s="569"/>
      <c r="H21" s="505"/>
      <c r="I21" s="504"/>
      <c r="J21" s="504"/>
      <c r="K21" s="569"/>
      <c r="L21" s="505"/>
      <c r="M21" s="504"/>
      <c r="N21" s="505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</row>
    <row r="22" spans="1:26" s="514" customFormat="1">
      <c r="A22" s="561">
        <v>7896004755014</v>
      </c>
      <c r="B22" s="583">
        <v>1356906700027</v>
      </c>
      <c r="C22" s="139">
        <v>3296330001</v>
      </c>
      <c r="D22" s="594" t="s">
        <v>770</v>
      </c>
      <c r="E22" s="506">
        <f t="shared" si="1"/>
        <v>98.2</v>
      </c>
      <c r="F22" s="506">
        <f>ROUND(E22/0.723358,2)</f>
        <v>135.76</v>
      </c>
      <c r="G22" s="578">
        <v>95.803020000000018</v>
      </c>
      <c r="H22" s="562">
        <f>ROUND(G22/0.723358,2)</f>
        <v>132.44</v>
      </c>
      <c r="I22" s="506">
        <f>ROUND(G22*0.993939,2)</f>
        <v>95.22</v>
      </c>
      <c r="J22" s="506">
        <f>ROUND(I22/0.723358,2)</f>
        <v>131.63999999999999</v>
      </c>
      <c r="K22" s="578">
        <f>ROUND(G22*0.987952,2)</f>
        <v>94.65</v>
      </c>
      <c r="L22" s="562">
        <f>ROUND(K22/0.723358,2)</f>
        <v>130.85</v>
      </c>
      <c r="M22" s="506">
        <f>ROUND(G22*0.931818,2)</f>
        <v>89.27</v>
      </c>
      <c r="N22" s="562">
        <f>ROUND(M22/0.723358,2)</f>
        <v>123.41</v>
      </c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</row>
    <row r="23" spans="1:26" s="514" customFormat="1">
      <c r="A23" s="561">
        <v>7896004755830</v>
      </c>
      <c r="B23" s="583">
        <v>1356906700061</v>
      </c>
      <c r="C23" s="139">
        <v>3296360002</v>
      </c>
      <c r="D23" s="594" t="s">
        <v>771</v>
      </c>
      <c r="E23" s="506">
        <f t="shared" si="1"/>
        <v>68.040000000000006</v>
      </c>
      <c r="F23" s="506">
        <f>ROUND(E23/0.723358,2)</f>
        <v>94.06</v>
      </c>
      <c r="G23" s="578">
        <v>66.37593600000001</v>
      </c>
      <c r="H23" s="562">
        <f>ROUND(G23/0.723358,2)</f>
        <v>91.76</v>
      </c>
      <c r="I23" s="506">
        <f>ROUND(G23*0.993939,2)</f>
        <v>65.97</v>
      </c>
      <c r="J23" s="506">
        <f>ROUND(I23/0.723358,2)</f>
        <v>91.2</v>
      </c>
      <c r="K23" s="578">
        <f>ROUND(G23*0.987952,2)</f>
        <v>65.58</v>
      </c>
      <c r="L23" s="562">
        <f>ROUND(K23/0.723358,2)</f>
        <v>90.66</v>
      </c>
      <c r="M23" s="506">
        <f>ROUND(G23*0.931818,2)</f>
        <v>61.85</v>
      </c>
      <c r="N23" s="562">
        <f>ROUND(M23/0.723358,2)</f>
        <v>85.5</v>
      </c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</row>
    <row r="24" spans="1:26" s="514" customFormat="1">
      <c r="A24" s="561">
        <v>7896004755007</v>
      </c>
      <c r="B24" s="583">
        <v>1356906700078</v>
      </c>
      <c r="C24" s="139">
        <v>3296360001</v>
      </c>
      <c r="D24" s="601" t="s">
        <v>772</v>
      </c>
      <c r="E24" s="506">
        <f t="shared" si="1"/>
        <v>102.05</v>
      </c>
      <c r="F24" s="506">
        <f>ROUND(E24/0.723358,2)</f>
        <v>141.08000000000001</v>
      </c>
      <c r="G24" s="578">
        <v>99.563904000000008</v>
      </c>
      <c r="H24" s="562">
        <f>ROUND(G24/0.723358,2)</f>
        <v>137.63999999999999</v>
      </c>
      <c r="I24" s="506">
        <f>ROUND(G24*0.993939,2)</f>
        <v>98.96</v>
      </c>
      <c r="J24" s="506">
        <f>ROUND(I24/0.723358,2)</f>
        <v>136.81</v>
      </c>
      <c r="K24" s="578">
        <f>ROUND(G24*0.987952,2)</f>
        <v>98.36</v>
      </c>
      <c r="L24" s="562">
        <f>ROUND(K24/0.723358,2)</f>
        <v>135.97999999999999</v>
      </c>
      <c r="M24" s="506">
        <f>ROUND(G24*0.931818,2)</f>
        <v>92.78</v>
      </c>
      <c r="N24" s="562">
        <f>ROUND(M24/0.723358,2)</f>
        <v>128.26</v>
      </c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</row>
    <row r="25" spans="1:26" s="514" customFormat="1" ht="15">
      <c r="A25" s="553"/>
      <c r="B25" s="704" t="s">
        <v>416</v>
      </c>
      <c r="C25" s="705"/>
      <c r="D25" s="706"/>
      <c r="E25" s="504"/>
      <c r="F25" s="504"/>
      <c r="G25" s="569"/>
      <c r="H25" s="505"/>
      <c r="I25" s="504"/>
      <c r="J25" s="504"/>
      <c r="K25" s="569"/>
      <c r="L25" s="505"/>
      <c r="M25" s="504"/>
      <c r="N25" s="505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</row>
    <row r="26" spans="1:26" s="514" customFormat="1">
      <c r="A26" s="664">
        <v>7891721013553</v>
      </c>
      <c r="B26" s="583">
        <v>1008903450020</v>
      </c>
      <c r="C26" s="139" t="s">
        <v>497</v>
      </c>
      <c r="D26" s="601" t="s">
        <v>417</v>
      </c>
      <c r="E26" s="507">
        <f>ROUND(G26*1.025,2)</f>
        <v>76.459999999999994</v>
      </c>
      <c r="F26" s="507">
        <f>ROUND(E26/0.723358,2)</f>
        <v>105.7</v>
      </c>
      <c r="G26" s="573">
        <v>74.599596000000005</v>
      </c>
      <c r="H26" s="560">
        <f>ROUND(G26/0.723358,2)</f>
        <v>103.13</v>
      </c>
      <c r="I26" s="507">
        <f>ROUND(G26*0.993939,2)</f>
        <v>74.150000000000006</v>
      </c>
      <c r="J26" s="507">
        <f>ROUND(I26/0.723358,2)</f>
        <v>102.51</v>
      </c>
      <c r="K26" s="573">
        <f>ROUND(G26*0.987952,2)</f>
        <v>73.7</v>
      </c>
      <c r="L26" s="560">
        <f>ROUND(K26/0.723358,2)</f>
        <v>101.89</v>
      </c>
      <c r="M26" s="507">
        <f>ROUND(G26*0.931818,2)</f>
        <v>69.510000000000005</v>
      </c>
      <c r="N26" s="560">
        <f>ROUND(M26/0.723358,2)</f>
        <v>96.09</v>
      </c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</row>
    <row r="27" spans="1:26" s="514" customFormat="1" ht="15">
      <c r="A27" s="553"/>
      <c r="B27" s="704" t="s">
        <v>301</v>
      </c>
      <c r="C27" s="705"/>
      <c r="D27" s="706"/>
      <c r="E27" s="504"/>
      <c r="F27" s="504"/>
      <c r="G27" s="569"/>
      <c r="H27" s="505"/>
      <c r="I27" s="504"/>
      <c r="J27" s="504"/>
      <c r="K27" s="569"/>
      <c r="L27" s="505"/>
      <c r="M27" s="504"/>
      <c r="N27" s="505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</row>
    <row r="28" spans="1:26" s="514" customFormat="1">
      <c r="A28" s="664">
        <v>7891721013447</v>
      </c>
      <c r="B28" s="583">
        <v>1008900120089</v>
      </c>
      <c r="C28" s="139" t="s">
        <v>388</v>
      </c>
      <c r="D28" s="601" t="s">
        <v>496</v>
      </c>
      <c r="E28" s="507">
        <f>ROUND(G28*1.025,2)</f>
        <v>47.53</v>
      </c>
      <c r="F28" s="507">
        <f>ROUND(E28/0.723358,2)</f>
        <v>65.709999999999994</v>
      </c>
      <c r="G28" s="573">
        <v>46.366776000000002</v>
      </c>
      <c r="H28" s="560">
        <f>ROUND(G28/0.723358,2)</f>
        <v>64.099999999999994</v>
      </c>
      <c r="I28" s="507">
        <v>46.08</v>
      </c>
      <c r="J28" s="507">
        <f>ROUND(I28/0.723358,2)</f>
        <v>63.7</v>
      </c>
      <c r="K28" s="573">
        <f>ROUND(G28*0.987952,2)</f>
        <v>45.81</v>
      </c>
      <c r="L28" s="560">
        <f>ROUND(K28/0.723358,2)</f>
        <v>63.33</v>
      </c>
      <c r="M28" s="507">
        <v>43.2</v>
      </c>
      <c r="N28" s="560">
        <f>ROUND(M28/0.723358,2)</f>
        <v>59.72</v>
      </c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</row>
    <row r="29" spans="1:26" s="514" customFormat="1" ht="15">
      <c r="A29" s="553"/>
      <c r="B29" s="704" t="s">
        <v>302</v>
      </c>
      <c r="C29" s="705"/>
      <c r="D29" s="706"/>
      <c r="E29" s="504"/>
      <c r="F29" s="504"/>
      <c r="G29" s="569"/>
      <c r="H29" s="505"/>
      <c r="I29" s="504"/>
      <c r="J29" s="504"/>
      <c r="K29" s="569"/>
      <c r="L29" s="505"/>
      <c r="M29" s="504"/>
      <c r="N29" s="505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</row>
    <row r="30" spans="1:26" s="514" customFormat="1">
      <c r="A30" s="561">
        <v>7891721027253</v>
      </c>
      <c r="B30" s="583">
        <v>1008900720086</v>
      </c>
      <c r="C30" s="139" t="s">
        <v>389</v>
      </c>
      <c r="D30" s="601" t="s">
        <v>547</v>
      </c>
      <c r="E30" s="506">
        <f>ROUND(G30*1.025,2)</f>
        <v>578.97</v>
      </c>
      <c r="F30" s="533" t="s">
        <v>563</v>
      </c>
      <c r="G30" s="578">
        <v>564.84496799999999</v>
      </c>
      <c r="H30" s="606" t="s">
        <v>563</v>
      </c>
      <c r="I30" s="506">
        <f>ROUND(G30*0.993939,2)</f>
        <v>561.41999999999996</v>
      </c>
      <c r="J30" s="533" t="s">
        <v>563</v>
      </c>
      <c r="K30" s="578">
        <f>ROUND(G30*0.987952,2)</f>
        <v>558.04</v>
      </c>
      <c r="L30" s="606" t="s">
        <v>563</v>
      </c>
      <c r="M30" s="506">
        <f>ROUND(G30*0.931818,2)</f>
        <v>526.33000000000004</v>
      </c>
      <c r="N30" s="606" t="s">
        <v>563</v>
      </c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</row>
    <row r="31" spans="1:26" s="514" customFormat="1" ht="15">
      <c r="A31" s="553"/>
      <c r="B31" s="704" t="s">
        <v>304</v>
      </c>
      <c r="C31" s="705"/>
      <c r="D31" s="706"/>
      <c r="E31" s="504"/>
      <c r="F31" s="504"/>
      <c r="G31" s="569"/>
      <c r="H31" s="505"/>
      <c r="I31" s="504"/>
      <c r="J31" s="504"/>
      <c r="K31" s="569"/>
      <c r="L31" s="505"/>
      <c r="M31" s="504"/>
      <c r="N31" s="505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</row>
    <row r="32" spans="1:26" s="514" customFormat="1">
      <c r="A32" s="565">
        <v>7891721001994</v>
      </c>
      <c r="B32" s="583" t="s">
        <v>32</v>
      </c>
      <c r="C32" s="139" t="s">
        <v>390</v>
      </c>
      <c r="D32" s="601" t="s">
        <v>290</v>
      </c>
      <c r="E32" s="506">
        <f t="shared" ref="E32:E34" si="2">ROUND(G32*1.025,2)</f>
        <v>16.059999999999999</v>
      </c>
      <c r="F32" s="506">
        <f>ROUND(E32/0.723358,2)</f>
        <v>22.2</v>
      </c>
      <c r="G32" s="578">
        <v>15.672096000000002</v>
      </c>
      <c r="H32" s="562">
        <f>ROUND(G32/0.723358,2)</f>
        <v>21.67</v>
      </c>
      <c r="I32" s="506">
        <f>ROUND(G32*0.993939,2)</f>
        <v>15.58</v>
      </c>
      <c r="J32" s="506">
        <f>ROUND(I32/0.723358,2)</f>
        <v>21.54</v>
      </c>
      <c r="K32" s="578">
        <f>ROUND(G32*0.987952,2)</f>
        <v>15.48</v>
      </c>
      <c r="L32" s="562">
        <f>ROUND(K32/0.723358,2)</f>
        <v>21.4</v>
      </c>
      <c r="M32" s="506">
        <f>ROUND(G32*0.931818,2)</f>
        <v>14.6</v>
      </c>
      <c r="N32" s="562">
        <f>ROUND(M32/0.723358,2)</f>
        <v>20.18</v>
      </c>
      <c r="O32" s="547"/>
      <c r="P32" s="547"/>
      <c r="Q32" s="547"/>
      <c r="R32" s="547"/>
      <c r="S32" s="547"/>
      <c r="T32" s="547"/>
      <c r="U32" s="547"/>
      <c r="V32" s="547"/>
      <c r="W32" s="547"/>
      <c r="X32" s="547"/>
      <c r="Y32" s="547"/>
      <c r="Z32" s="547"/>
    </row>
    <row r="33" spans="1:26" s="514" customFormat="1">
      <c r="A33" s="561">
        <v>7891721000812</v>
      </c>
      <c r="B33" s="583" t="s">
        <v>33</v>
      </c>
      <c r="C33" s="139" t="s">
        <v>391</v>
      </c>
      <c r="D33" s="601" t="s">
        <v>286</v>
      </c>
      <c r="E33" s="506">
        <f t="shared" si="2"/>
        <v>23.13</v>
      </c>
      <c r="F33" s="506">
        <f>ROUND(E33/0.723358,2)</f>
        <v>31.98</v>
      </c>
      <c r="G33" s="578">
        <v>22.565304000000001</v>
      </c>
      <c r="H33" s="562">
        <v>31.19</v>
      </c>
      <c r="I33" s="506">
        <f>ROUND(G33*0.993939,2)</f>
        <v>22.43</v>
      </c>
      <c r="J33" s="506">
        <f>ROUND(I33/0.723358,2)</f>
        <v>31.01</v>
      </c>
      <c r="K33" s="578">
        <f>ROUND(G33*0.987952,2)</f>
        <v>22.29</v>
      </c>
      <c r="L33" s="562">
        <f>ROUND(K33/0.723358,2)</f>
        <v>30.81</v>
      </c>
      <c r="M33" s="506">
        <f>ROUND(G33*0.931818,2)</f>
        <v>21.03</v>
      </c>
      <c r="N33" s="562">
        <f>ROUND(M33/0.723358,2)</f>
        <v>29.07</v>
      </c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</row>
    <row r="34" spans="1:26" s="514" customFormat="1">
      <c r="A34" s="561">
        <v>7891721013522</v>
      </c>
      <c r="B34" s="583" t="s">
        <v>34</v>
      </c>
      <c r="C34" s="139" t="s">
        <v>392</v>
      </c>
      <c r="D34" s="601" t="s">
        <v>320</v>
      </c>
      <c r="E34" s="506">
        <f t="shared" si="2"/>
        <v>34.69</v>
      </c>
      <c r="F34" s="506">
        <f>ROUND(E34/0.723358,2)</f>
        <v>47.96</v>
      </c>
      <c r="G34" s="578">
        <v>33.847956000000003</v>
      </c>
      <c r="H34" s="562">
        <f>ROUND(G34/0.723358,2)</f>
        <v>46.79</v>
      </c>
      <c r="I34" s="506">
        <f>ROUND(G34*0.993939,2)</f>
        <v>33.64</v>
      </c>
      <c r="J34" s="506">
        <f>ROUND(I34/0.723358,2)</f>
        <v>46.51</v>
      </c>
      <c r="K34" s="578">
        <f>ROUND(G34*0.987952,2)</f>
        <v>33.44</v>
      </c>
      <c r="L34" s="562">
        <f>ROUND(K34/0.723358,2)</f>
        <v>46.23</v>
      </c>
      <c r="M34" s="506">
        <f>ROUND(G34*0.931818,2)</f>
        <v>31.54</v>
      </c>
      <c r="N34" s="562">
        <f>ROUND(M34/0.723358,2)</f>
        <v>43.6</v>
      </c>
      <c r="O34" s="547"/>
      <c r="P34" s="547"/>
      <c r="Q34" s="547"/>
      <c r="R34" s="547"/>
      <c r="S34" s="547"/>
      <c r="T34" s="547"/>
      <c r="U34" s="547"/>
      <c r="V34" s="547"/>
      <c r="W34" s="547"/>
      <c r="X34" s="547"/>
      <c r="Y34" s="547"/>
      <c r="Z34" s="547"/>
    </row>
    <row r="35" spans="1:26" s="514" customFormat="1" ht="15">
      <c r="A35" s="553"/>
      <c r="B35" s="704" t="s">
        <v>305</v>
      </c>
      <c r="C35" s="705"/>
      <c r="D35" s="706"/>
      <c r="E35" s="504"/>
      <c r="F35" s="504"/>
      <c r="G35" s="569"/>
      <c r="H35" s="505"/>
      <c r="I35" s="504"/>
      <c r="J35" s="504"/>
      <c r="K35" s="569"/>
      <c r="L35" s="505"/>
      <c r="M35" s="504"/>
      <c r="N35" s="505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</row>
    <row r="36" spans="1:26" s="514" customFormat="1">
      <c r="A36" s="565">
        <v>7891721003059</v>
      </c>
      <c r="B36" s="583">
        <v>1008902540026</v>
      </c>
      <c r="C36" s="139" t="s">
        <v>540</v>
      </c>
      <c r="D36" s="601" t="s">
        <v>613</v>
      </c>
      <c r="E36" s="506">
        <f t="shared" ref="E36:E41" si="3">G36</f>
        <v>4.5884879999999999</v>
      </c>
      <c r="F36" s="506">
        <f t="shared" ref="F36:F41" si="4">H36</f>
        <v>6.34</v>
      </c>
      <c r="G36" s="578">
        <v>4.5884879999999999</v>
      </c>
      <c r="H36" s="562">
        <f t="shared" ref="H36:H42" si="5">ROUND(G36/0.723358,2)</f>
        <v>6.34</v>
      </c>
      <c r="I36" s="506">
        <f t="shared" ref="I36:I42" si="6">ROUND(G36*0.993939,2)</f>
        <v>4.5599999999999996</v>
      </c>
      <c r="J36" s="506">
        <f t="shared" ref="J36:J42" si="7">ROUND(I36/0.723358,2)</f>
        <v>6.3</v>
      </c>
      <c r="K36" s="578">
        <f t="shared" ref="K36:K42" si="8">ROUND(G36*0.987952,2)</f>
        <v>4.53</v>
      </c>
      <c r="L36" s="562">
        <f t="shared" ref="L36:L42" si="9">ROUND(K36/0.723358,2)</f>
        <v>6.26</v>
      </c>
      <c r="M36" s="506">
        <f t="shared" ref="M36:M42" si="10">ROUND(G36*0.931818,2)</f>
        <v>4.28</v>
      </c>
      <c r="N36" s="562">
        <f t="shared" ref="N36:N42" si="11">ROUND(M36/0.723358,2)</f>
        <v>5.92</v>
      </c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</row>
    <row r="37" spans="1:26" s="514" customFormat="1">
      <c r="A37" s="561">
        <v>7891721003042</v>
      </c>
      <c r="B37" s="583" t="s">
        <v>35</v>
      </c>
      <c r="C37" s="139" t="s">
        <v>393</v>
      </c>
      <c r="D37" s="601" t="s">
        <v>614</v>
      </c>
      <c r="E37" s="507">
        <f t="shared" si="3"/>
        <v>13.734036</v>
      </c>
      <c r="F37" s="507">
        <f t="shared" si="4"/>
        <v>18.989999999999998</v>
      </c>
      <c r="G37" s="578">
        <v>13.734036</v>
      </c>
      <c r="H37" s="560">
        <f t="shared" si="5"/>
        <v>18.989999999999998</v>
      </c>
      <c r="I37" s="507">
        <f t="shared" si="6"/>
        <v>13.65</v>
      </c>
      <c r="J37" s="507">
        <f t="shared" si="7"/>
        <v>18.87</v>
      </c>
      <c r="K37" s="573">
        <f t="shared" si="8"/>
        <v>13.57</v>
      </c>
      <c r="L37" s="560">
        <f t="shared" si="9"/>
        <v>18.760000000000002</v>
      </c>
      <c r="M37" s="507">
        <f t="shared" si="10"/>
        <v>12.8</v>
      </c>
      <c r="N37" s="560">
        <f t="shared" si="11"/>
        <v>17.7</v>
      </c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</row>
    <row r="38" spans="1:26" s="514" customFormat="1">
      <c r="A38" s="561">
        <v>7891721013119</v>
      </c>
      <c r="B38" s="583">
        <v>1008902540050</v>
      </c>
      <c r="C38" s="139" t="s">
        <v>541</v>
      </c>
      <c r="D38" s="601" t="s">
        <v>615</v>
      </c>
      <c r="E38" s="507">
        <f t="shared" si="3"/>
        <v>8.7474600000000002</v>
      </c>
      <c r="F38" s="507">
        <f t="shared" si="4"/>
        <v>12.09</v>
      </c>
      <c r="G38" s="578">
        <v>8.7474600000000002</v>
      </c>
      <c r="H38" s="560">
        <f t="shared" si="5"/>
        <v>12.09</v>
      </c>
      <c r="I38" s="507">
        <f t="shared" si="6"/>
        <v>8.69</v>
      </c>
      <c r="J38" s="507">
        <f t="shared" si="7"/>
        <v>12.01</v>
      </c>
      <c r="K38" s="573">
        <f t="shared" si="8"/>
        <v>8.64</v>
      </c>
      <c r="L38" s="560">
        <f t="shared" si="9"/>
        <v>11.94</v>
      </c>
      <c r="M38" s="507">
        <f t="shared" si="10"/>
        <v>8.15</v>
      </c>
      <c r="N38" s="560">
        <f t="shared" si="11"/>
        <v>11.27</v>
      </c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</row>
    <row r="39" spans="1:26" s="514" customFormat="1">
      <c r="A39" s="561">
        <v>7891721012884</v>
      </c>
      <c r="B39" s="583" t="s">
        <v>36</v>
      </c>
      <c r="C39" s="139" t="s">
        <v>394</v>
      </c>
      <c r="D39" s="601" t="s">
        <v>616</v>
      </c>
      <c r="E39" s="506">
        <f t="shared" si="3"/>
        <v>26.263332000000002</v>
      </c>
      <c r="F39" s="506">
        <f t="shared" si="4"/>
        <v>36.31</v>
      </c>
      <c r="G39" s="578">
        <v>26.263332000000002</v>
      </c>
      <c r="H39" s="562">
        <f t="shared" si="5"/>
        <v>36.31</v>
      </c>
      <c r="I39" s="506">
        <f t="shared" si="6"/>
        <v>26.1</v>
      </c>
      <c r="J39" s="506">
        <f t="shared" si="7"/>
        <v>36.08</v>
      </c>
      <c r="K39" s="578">
        <f t="shared" si="8"/>
        <v>25.95</v>
      </c>
      <c r="L39" s="562">
        <f t="shared" si="9"/>
        <v>35.869999999999997</v>
      </c>
      <c r="M39" s="506">
        <f t="shared" si="10"/>
        <v>24.47</v>
      </c>
      <c r="N39" s="562">
        <f t="shared" si="11"/>
        <v>33.83</v>
      </c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</row>
    <row r="40" spans="1:26" s="514" customFormat="1">
      <c r="A40" s="561">
        <v>7891721016189</v>
      </c>
      <c r="B40" s="583">
        <v>1008902540085</v>
      </c>
      <c r="C40" s="139" t="s">
        <v>542</v>
      </c>
      <c r="D40" s="601" t="s">
        <v>617</v>
      </c>
      <c r="E40" s="507">
        <f t="shared" si="3"/>
        <v>17.725392000000003</v>
      </c>
      <c r="F40" s="507">
        <f t="shared" si="4"/>
        <v>24.5</v>
      </c>
      <c r="G40" s="578">
        <v>17.725392000000003</v>
      </c>
      <c r="H40" s="560">
        <f t="shared" si="5"/>
        <v>24.5</v>
      </c>
      <c r="I40" s="507">
        <f t="shared" si="6"/>
        <v>17.62</v>
      </c>
      <c r="J40" s="507">
        <f t="shared" si="7"/>
        <v>24.36</v>
      </c>
      <c r="K40" s="573">
        <f t="shared" si="8"/>
        <v>17.510000000000002</v>
      </c>
      <c r="L40" s="560">
        <f t="shared" si="9"/>
        <v>24.21</v>
      </c>
      <c r="M40" s="507">
        <f t="shared" si="10"/>
        <v>16.52</v>
      </c>
      <c r="N40" s="560">
        <f t="shared" si="11"/>
        <v>22.84</v>
      </c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</row>
    <row r="41" spans="1:26" s="514" customFormat="1">
      <c r="A41" s="561">
        <v>7891721016165</v>
      </c>
      <c r="B41" s="583">
        <v>1008902540093</v>
      </c>
      <c r="C41" s="139" t="s">
        <v>407</v>
      </c>
      <c r="D41" s="601" t="s">
        <v>618</v>
      </c>
      <c r="E41" s="507">
        <f t="shared" si="3"/>
        <v>53.176176000000005</v>
      </c>
      <c r="F41" s="507">
        <f t="shared" si="4"/>
        <v>73.510000000000005</v>
      </c>
      <c r="G41" s="578">
        <v>53.176176000000005</v>
      </c>
      <c r="H41" s="560">
        <f t="shared" si="5"/>
        <v>73.510000000000005</v>
      </c>
      <c r="I41" s="507">
        <f t="shared" si="6"/>
        <v>52.85</v>
      </c>
      <c r="J41" s="507">
        <f t="shared" si="7"/>
        <v>73.06</v>
      </c>
      <c r="K41" s="573">
        <f t="shared" si="8"/>
        <v>52.54</v>
      </c>
      <c r="L41" s="560">
        <f t="shared" si="9"/>
        <v>72.63</v>
      </c>
      <c r="M41" s="507">
        <f t="shared" si="10"/>
        <v>49.55</v>
      </c>
      <c r="N41" s="560">
        <f t="shared" si="11"/>
        <v>68.5</v>
      </c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</row>
    <row r="42" spans="1:26" s="514" customFormat="1">
      <c r="A42" s="561">
        <v>7891721016172</v>
      </c>
      <c r="B42" s="583">
        <v>1008902540115</v>
      </c>
      <c r="C42" s="139" t="s">
        <v>408</v>
      </c>
      <c r="D42" s="601" t="s">
        <v>534</v>
      </c>
      <c r="E42" s="507">
        <f t="shared" ref="E42" si="12">ROUND(G42*1.025,2)</f>
        <v>74.510000000000005</v>
      </c>
      <c r="F42" s="507">
        <f>ROUND(E42/0.723358,2)</f>
        <v>103.01</v>
      </c>
      <c r="G42" s="578">
        <v>72.692964000000003</v>
      </c>
      <c r="H42" s="560">
        <f t="shared" si="5"/>
        <v>100.49</v>
      </c>
      <c r="I42" s="507">
        <f t="shared" si="6"/>
        <v>72.25</v>
      </c>
      <c r="J42" s="507">
        <f t="shared" si="7"/>
        <v>99.88</v>
      </c>
      <c r="K42" s="573">
        <f t="shared" si="8"/>
        <v>71.819999999999993</v>
      </c>
      <c r="L42" s="560">
        <f t="shared" si="9"/>
        <v>99.29</v>
      </c>
      <c r="M42" s="507">
        <f t="shared" si="10"/>
        <v>67.739999999999995</v>
      </c>
      <c r="N42" s="560">
        <f t="shared" si="11"/>
        <v>93.65</v>
      </c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</row>
    <row r="43" spans="1:26" s="514" customFormat="1" ht="15">
      <c r="A43" s="553"/>
      <c r="B43" s="585" t="s">
        <v>306</v>
      </c>
      <c r="C43" s="523"/>
      <c r="D43" s="593"/>
      <c r="E43" s="504"/>
      <c r="F43" s="504"/>
      <c r="G43" s="569"/>
      <c r="H43" s="505"/>
      <c r="I43" s="504"/>
      <c r="J43" s="504"/>
      <c r="K43" s="569"/>
      <c r="L43" s="505"/>
      <c r="M43" s="504"/>
      <c r="N43" s="505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Z43" s="547"/>
    </row>
    <row r="44" spans="1:26" s="514" customFormat="1">
      <c r="A44" s="565">
        <v>7891721070600</v>
      </c>
      <c r="B44" s="583" t="s">
        <v>44</v>
      </c>
      <c r="C44" s="139" t="s">
        <v>395</v>
      </c>
      <c r="D44" s="601" t="s">
        <v>361</v>
      </c>
      <c r="E44" s="507">
        <f t="shared" ref="E44:E57" si="13">ROUND(G44*1.025,2)</f>
        <v>58.77</v>
      </c>
      <c r="F44" s="507">
        <f t="shared" ref="F44:F57" si="14">ROUND(E44/0.723358,2)</f>
        <v>81.25</v>
      </c>
      <c r="G44" s="573">
        <v>57.332278000000002</v>
      </c>
      <c r="H44" s="560">
        <f t="shared" ref="H44:H49" si="15">ROUND(G44/0.723358,2)</f>
        <v>79.260000000000005</v>
      </c>
      <c r="I44" s="507">
        <f t="shared" ref="I44:I53" si="16">ROUND(G44*0.993939,2)</f>
        <v>56.98</v>
      </c>
      <c r="J44" s="507">
        <f t="shared" ref="J44:J57" si="17">ROUND(I44/0.723358,2)</f>
        <v>78.77</v>
      </c>
      <c r="K44" s="573">
        <f>ROUND(G44*0.987952,2)</f>
        <v>56.64</v>
      </c>
      <c r="L44" s="560">
        <f t="shared" ref="L44:L57" si="18">ROUND(K44/0.723358,2)</f>
        <v>78.3</v>
      </c>
      <c r="M44" s="507">
        <f t="shared" ref="M44:M57" si="19">ROUND(G44*0.931818,2)</f>
        <v>53.42</v>
      </c>
      <c r="N44" s="560">
        <f t="shared" ref="N44:N57" si="20">ROUND(M44/0.723358,2)</f>
        <v>73.849999999999994</v>
      </c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</row>
    <row r="45" spans="1:26" s="514" customFormat="1">
      <c r="A45" s="561">
        <v>7891721040115</v>
      </c>
      <c r="B45" s="583">
        <v>1008901940111</v>
      </c>
      <c r="C45" s="139" t="s">
        <v>543</v>
      </c>
      <c r="D45" s="594" t="s">
        <v>537</v>
      </c>
      <c r="E45" s="506">
        <f t="shared" si="13"/>
        <v>33.840000000000003</v>
      </c>
      <c r="F45" s="506">
        <f t="shared" si="14"/>
        <v>46.78</v>
      </c>
      <c r="G45" s="573">
        <v>33.010117999999999</v>
      </c>
      <c r="H45" s="562">
        <f t="shared" si="15"/>
        <v>45.63</v>
      </c>
      <c r="I45" s="506">
        <f t="shared" si="16"/>
        <v>32.81</v>
      </c>
      <c r="J45" s="506">
        <f t="shared" si="17"/>
        <v>45.36</v>
      </c>
      <c r="K45" s="578">
        <f>ROUND(G45*0.987952,2)</f>
        <v>32.61</v>
      </c>
      <c r="L45" s="562">
        <f t="shared" si="18"/>
        <v>45.08</v>
      </c>
      <c r="M45" s="506">
        <f t="shared" si="19"/>
        <v>30.76</v>
      </c>
      <c r="N45" s="562">
        <f t="shared" si="20"/>
        <v>42.52</v>
      </c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</row>
    <row r="46" spans="1:26" s="514" customFormat="1">
      <c r="A46" s="561">
        <v>7891721070655</v>
      </c>
      <c r="B46" s="583" t="s">
        <v>46</v>
      </c>
      <c r="C46" s="139" t="s">
        <v>396</v>
      </c>
      <c r="D46" s="594" t="s">
        <v>362</v>
      </c>
      <c r="E46" s="506">
        <f t="shared" si="13"/>
        <v>67.680000000000007</v>
      </c>
      <c r="F46" s="506">
        <f t="shared" si="14"/>
        <v>93.56</v>
      </c>
      <c r="G46" s="573">
        <v>66.030541999999997</v>
      </c>
      <c r="H46" s="562">
        <f t="shared" si="15"/>
        <v>91.28</v>
      </c>
      <c r="I46" s="506">
        <f t="shared" si="16"/>
        <v>65.63</v>
      </c>
      <c r="J46" s="506">
        <f t="shared" si="17"/>
        <v>90.73</v>
      </c>
      <c r="K46" s="578">
        <v>65.23</v>
      </c>
      <c r="L46" s="562">
        <f t="shared" si="18"/>
        <v>90.18</v>
      </c>
      <c r="M46" s="506">
        <f t="shared" si="19"/>
        <v>61.53</v>
      </c>
      <c r="N46" s="562">
        <f t="shared" si="20"/>
        <v>85.06</v>
      </c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Z46" s="547"/>
    </row>
    <row r="47" spans="1:26" s="514" customFormat="1">
      <c r="A47" s="561">
        <v>7891721040122</v>
      </c>
      <c r="B47" s="583">
        <v>1008901940233</v>
      </c>
      <c r="C47" s="139" t="s">
        <v>544</v>
      </c>
      <c r="D47" s="594" t="s">
        <v>538</v>
      </c>
      <c r="E47" s="506">
        <f t="shared" si="13"/>
        <v>41.15</v>
      </c>
      <c r="F47" s="506">
        <f t="shared" si="14"/>
        <v>56.89</v>
      </c>
      <c r="G47" s="573">
        <v>40.141870000000004</v>
      </c>
      <c r="H47" s="562">
        <f t="shared" si="15"/>
        <v>55.49</v>
      </c>
      <c r="I47" s="506">
        <f t="shared" si="16"/>
        <v>39.9</v>
      </c>
      <c r="J47" s="506">
        <f t="shared" si="17"/>
        <v>55.16</v>
      </c>
      <c r="K47" s="578">
        <f t="shared" ref="K47:K57" si="21">ROUND(G47*0.987952,2)</f>
        <v>39.659999999999997</v>
      </c>
      <c r="L47" s="562">
        <f t="shared" si="18"/>
        <v>54.83</v>
      </c>
      <c r="M47" s="506">
        <f t="shared" si="19"/>
        <v>37.4</v>
      </c>
      <c r="N47" s="562">
        <f t="shared" si="20"/>
        <v>51.7</v>
      </c>
      <c r="O47" s="547"/>
      <c r="P47" s="547"/>
      <c r="Q47" s="547"/>
      <c r="R47" s="547"/>
      <c r="S47" s="547"/>
      <c r="T47" s="547"/>
      <c r="U47" s="547"/>
      <c r="V47" s="547"/>
      <c r="W47" s="547"/>
      <c r="X47" s="547"/>
      <c r="Y47" s="547"/>
      <c r="Z47" s="547"/>
    </row>
    <row r="48" spans="1:26" s="514" customFormat="1">
      <c r="A48" s="561">
        <v>7891721070785</v>
      </c>
      <c r="B48" s="583" t="s">
        <v>47</v>
      </c>
      <c r="C48" s="139" t="s">
        <v>397</v>
      </c>
      <c r="D48" s="594" t="s">
        <v>314</v>
      </c>
      <c r="E48" s="506">
        <f t="shared" si="13"/>
        <v>82.31</v>
      </c>
      <c r="F48" s="506">
        <f t="shared" si="14"/>
        <v>113.79</v>
      </c>
      <c r="G48" s="573">
        <v>80.304351999999994</v>
      </c>
      <c r="H48" s="562">
        <f t="shared" si="15"/>
        <v>111.02</v>
      </c>
      <c r="I48" s="506">
        <f t="shared" si="16"/>
        <v>79.819999999999993</v>
      </c>
      <c r="J48" s="506">
        <f t="shared" si="17"/>
        <v>110.35</v>
      </c>
      <c r="K48" s="578">
        <f t="shared" si="21"/>
        <v>79.34</v>
      </c>
      <c r="L48" s="562">
        <f t="shared" si="18"/>
        <v>109.68</v>
      </c>
      <c r="M48" s="506">
        <f t="shared" si="19"/>
        <v>74.83</v>
      </c>
      <c r="N48" s="562">
        <f t="shared" si="20"/>
        <v>103.45</v>
      </c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</row>
    <row r="49" spans="1:26" s="514" customFormat="1">
      <c r="A49" s="561">
        <v>7891721070914</v>
      </c>
      <c r="B49" s="583" t="s">
        <v>45</v>
      </c>
      <c r="C49" s="139" t="s">
        <v>398</v>
      </c>
      <c r="D49" s="594" t="s">
        <v>315</v>
      </c>
      <c r="E49" s="506">
        <f t="shared" si="13"/>
        <v>93.79</v>
      </c>
      <c r="F49" s="506">
        <f t="shared" si="14"/>
        <v>129.66</v>
      </c>
      <c r="G49" s="573">
        <v>91.506974</v>
      </c>
      <c r="H49" s="562">
        <f t="shared" si="15"/>
        <v>126.5</v>
      </c>
      <c r="I49" s="506">
        <f t="shared" si="16"/>
        <v>90.95</v>
      </c>
      <c r="J49" s="506">
        <f t="shared" si="17"/>
        <v>125.73</v>
      </c>
      <c r="K49" s="578">
        <f t="shared" si="21"/>
        <v>90.4</v>
      </c>
      <c r="L49" s="562">
        <f t="shared" si="18"/>
        <v>124.97</v>
      </c>
      <c r="M49" s="506">
        <f t="shared" si="19"/>
        <v>85.27</v>
      </c>
      <c r="N49" s="562">
        <f t="shared" si="20"/>
        <v>117.88</v>
      </c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</row>
    <row r="50" spans="1:26" s="514" customFormat="1">
      <c r="A50" s="561">
        <v>7891721024917</v>
      </c>
      <c r="B50" s="583">
        <v>1008901940446</v>
      </c>
      <c r="C50" s="139">
        <v>3191260003</v>
      </c>
      <c r="D50" s="594" t="s">
        <v>756</v>
      </c>
      <c r="E50" s="506">
        <f t="shared" si="13"/>
        <v>41.97</v>
      </c>
      <c r="F50" s="506">
        <f t="shared" si="14"/>
        <v>58.02</v>
      </c>
      <c r="G50" s="573">
        <v>40.945737999999999</v>
      </c>
      <c r="H50" s="562">
        <v>56.6</v>
      </c>
      <c r="I50" s="506">
        <f t="shared" si="16"/>
        <v>40.700000000000003</v>
      </c>
      <c r="J50" s="506">
        <f t="shared" si="17"/>
        <v>56.27</v>
      </c>
      <c r="K50" s="578">
        <f t="shared" si="21"/>
        <v>40.450000000000003</v>
      </c>
      <c r="L50" s="562">
        <f t="shared" si="18"/>
        <v>55.92</v>
      </c>
      <c r="M50" s="506">
        <f t="shared" si="19"/>
        <v>38.15</v>
      </c>
      <c r="N50" s="562">
        <f t="shared" si="20"/>
        <v>52.74</v>
      </c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</row>
    <row r="51" spans="1:26" s="514" customFormat="1">
      <c r="A51" s="561">
        <v>7891721024924</v>
      </c>
      <c r="B51" s="583">
        <v>1008901940454</v>
      </c>
      <c r="C51" s="139">
        <v>3191260001</v>
      </c>
      <c r="D51" s="594" t="s">
        <v>757</v>
      </c>
      <c r="E51" s="506">
        <f t="shared" si="13"/>
        <v>62.95</v>
      </c>
      <c r="F51" s="506">
        <f t="shared" si="14"/>
        <v>87.02</v>
      </c>
      <c r="G51" s="573">
        <v>61.413454000000002</v>
      </c>
      <c r="H51" s="562">
        <f t="shared" ref="H51:H56" si="22">ROUND(G51/0.723358,2)</f>
        <v>84.9</v>
      </c>
      <c r="I51" s="506">
        <f t="shared" si="16"/>
        <v>61.04</v>
      </c>
      <c r="J51" s="506">
        <f t="shared" si="17"/>
        <v>84.38</v>
      </c>
      <c r="K51" s="578">
        <f t="shared" si="21"/>
        <v>60.67</v>
      </c>
      <c r="L51" s="562">
        <f t="shared" si="18"/>
        <v>83.87</v>
      </c>
      <c r="M51" s="506">
        <f t="shared" si="19"/>
        <v>57.23</v>
      </c>
      <c r="N51" s="562">
        <f t="shared" si="20"/>
        <v>79.12</v>
      </c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</row>
    <row r="52" spans="1:26" s="514" customFormat="1">
      <c r="A52" s="561">
        <v>7891721024979</v>
      </c>
      <c r="B52" s="583">
        <v>1008901940500</v>
      </c>
      <c r="C52" s="139">
        <v>3290610001</v>
      </c>
      <c r="D52" s="594" t="s">
        <v>758</v>
      </c>
      <c r="E52" s="506">
        <f t="shared" si="13"/>
        <v>48.34</v>
      </c>
      <c r="F52" s="506">
        <f t="shared" si="14"/>
        <v>66.83</v>
      </c>
      <c r="G52" s="573">
        <v>47.160255999999997</v>
      </c>
      <c r="H52" s="562">
        <f t="shared" si="22"/>
        <v>65.2</v>
      </c>
      <c r="I52" s="506">
        <f t="shared" si="16"/>
        <v>46.87</v>
      </c>
      <c r="J52" s="506">
        <f t="shared" si="17"/>
        <v>64.8</v>
      </c>
      <c r="K52" s="578">
        <f t="shared" si="21"/>
        <v>46.59</v>
      </c>
      <c r="L52" s="562">
        <f t="shared" si="18"/>
        <v>64.41</v>
      </c>
      <c r="M52" s="506">
        <f t="shared" si="19"/>
        <v>43.94</v>
      </c>
      <c r="N52" s="562">
        <f t="shared" si="20"/>
        <v>60.74</v>
      </c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7"/>
    </row>
    <row r="53" spans="1:26" s="514" customFormat="1">
      <c r="A53" s="561">
        <v>7891721024986</v>
      </c>
      <c r="B53" s="583">
        <v>1008901940519</v>
      </c>
      <c r="C53" s="139">
        <v>3191270001</v>
      </c>
      <c r="D53" s="594" t="s">
        <v>759</v>
      </c>
      <c r="E53" s="506">
        <f t="shared" si="13"/>
        <v>72.510000000000005</v>
      </c>
      <c r="F53" s="506">
        <f t="shared" si="14"/>
        <v>100.24</v>
      </c>
      <c r="G53" s="573">
        <v>70.740383999999992</v>
      </c>
      <c r="H53" s="562">
        <f t="shared" si="22"/>
        <v>97.79</v>
      </c>
      <c r="I53" s="506">
        <f t="shared" si="16"/>
        <v>70.31</v>
      </c>
      <c r="J53" s="506">
        <f t="shared" si="17"/>
        <v>97.2</v>
      </c>
      <c r="K53" s="578">
        <f t="shared" si="21"/>
        <v>69.89</v>
      </c>
      <c r="L53" s="562">
        <f t="shared" si="18"/>
        <v>96.62</v>
      </c>
      <c r="M53" s="506">
        <f t="shared" si="19"/>
        <v>65.92</v>
      </c>
      <c r="N53" s="562">
        <f t="shared" si="20"/>
        <v>91.13</v>
      </c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</row>
    <row r="54" spans="1:26" s="514" customFormat="1">
      <c r="A54" s="561">
        <v>7891721025099</v>
      </c>
      <c r="B54" s="583">
        <v>1008901940561</v>
      </c>
      <c r="C54" s="139">
        <v>3028030003</v>
      </c>
      <c r="D54" s="594" t="s">
        <v>760</v>
      </c>
      <c r="E54" s="506">
        <f t="shared" si="13"/>
        <v>58.79</v>
      </c>
      <c r="F54" s="506">
        <f t="shared" si="14"/>
        <v>81.27</v>
      </c>
      <c r="G54" s="573">
        <v>57.352889999999995</v>
      </c>
      <c r="H54" s="562">
        <f t="shared" si="22"/>
        <v>79.290000000000006</v>
      </c>
      <c r="I54" s="506">
        <v>57</v>
      </c>
      <c r="J54" s="506">
        <f t="shared" si="17"/>
        <v>78.8</v>
      </c>
      <c r="K54" s="578">
        <f t="shared" si="21"/>
        <v>56.66</v>
      </c>
      <c r="L54" s="562">
        <f t="shared" si="18"/>
        <v>78.33</v>
      </c>
      <c r="M54" s="506">
        <f t="shared" si="19"/>
        <v>53.44</v>
      </c>
      <c r="N54" s="562">
        <f t="shared" si="20"/>
        <v>73.88</v>
      </c>
      <c r="O54" s="547"/>
      <c r="P54" s="547"/>
      <c r="Q54" s="547"/>
      <c r="R54" s="547"/>
      <c r="S54" s="547"/>
      <c r="T54" s="547"/>
      <c r="U54" s="547"/>
      <c r="V54" s="547"/>
      <c r="W54" s="547"/>
      <c r="X54" s="547"/>
      <c r="Y54" s="547"/>
      <c r="Z54" s="547"/>
    </row>
    <row r="55" spans="1:26" s="514" customFormat="1">
      <c r="A55" s="561">
        <v>7891721025105</v>
      </c>
      <c r="B55" s="583">
        <v>1008901940578</v>
      </c>
      <c r="C55" s="139">
        <v>3028030001</v>
      </c>
      <c r="D55" s="594" t="s">
        <v>761</v>
      </c>
      <c r="E55" s="506">
        <f t="shared" si="13"/>
        <v>88.19</v>
      </c>
      <c r="F55" s="506">
        <f t="shared" si="14"/>
        <v>121.92</v>
      </c>
      <c r="G55" s="573">
        <v>86.034487999999996</v>
      </c>
      <c r="H55" s="562">
        <f t="shared" si="22"/>
        <v>118.94</v>
      </c>
      <c r="I55" s="506">
        <f>ROUND(G55*0.993939,2)</f>
        <v>85.51</v>
      </c>
      <c r="J55" s="506">
        <f t="shared" si="17"/>
        <v>118.21</v>
      </c>
      <c r="K55" s="578">
        <f t="shared" si="21"/>
        <v>85</v>
      </c>
      <c r="L55" s="562">
        <f t="shared" si="18"/>
        <v>117.51</v>
      </c>
      <c r="M55" s="506">
        <f t="shared" si="19"/>
        <v>80.17</v>
      </c>
      <c r="N55" s="562">
        <f t="shared" si="20"/>
        <v>110.83</v>
      </c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</row>
    <row r="56" spans="1:26" s="514" customFormat="1">
      <c r="A56" s="561">
        <v>7891721025211</v>
      </c>
      <c r="B56" s="583">
        <v>1008901940624</v>
      </c>
      <c r="C56" s="139">
        <v>3191290002</v>
      </c>
      <c r="D56" s="594" t="s">
        <v>762</v>
      </c>
      <c r="E56" s="506">
        <f t="shared" si="13"/>
        <v>66.989999999999995</v>
      </c>
      <c r="F56" s="506">
        <f t="shared" si="14"/>
        <v>92.61</v>
      </c>
      <c r="G56" s="573">
        <v>65.360652000000002</v>
      </c>
      <c r="H56" s="562">
        <f t="shared" si="22"/>
        <v>90.36</v>
      </c>
      <c r="I56" s="506">
        <f>ROUND(G56*0.993939,2)</f>
        <v>64.959999999999994</v>
      </c>
      <c r="J56" s="506">
        <f t="shared" si="17"/>
        <v>89.8</v>
      </c>
      <c r="K56" s="578">
        <f t="shared" si="21"/>
        <v>64.569999999999993</v>
      </c>
      <c r="L56" s="562">
        <f t="shared" si="18"/>
        <v>89.26</v>
      </c>
      <c r="M56" s="506">
        <f t="shared" si="19"/>
        <v>60.9</v>
      </c>
      <c r="N56" s="562">
        <f t="shared" si="20"/>
        <v>84.19</v>
      </c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</row>
    <row r="57" spans="1:26" s="514" customFormat="1">
      <c r="A57" s="561">
        <v>7891721025228</v>
      </c>
      <c r="B57" s="583">
        <v>1008901940632</v>
      </c>
      <c r="C57" s="139">
        <v>3191290001</v>
      </c>
      <c r="D57" s="601" t="s">
        <v>763</v>
      </c>
      <c r="E57" s="507">
        <f t="shared" si="13"/>
        <v>100.49</v>
      </c>
      <c r="F57" s="507">
        <f t="shared" si="14"/>
        <v>138.91999999999999</v>
      </c>
      <c r="G57" s="573">
        <v>98.040977999999996</v>
      </c>
      <c r="H57" s="560">
        <v>135.53</v>
      </c>
      <c r="I57" s="507">
        <f>ROUND(G57*0.993939,2)</f>
        <v>97.45</v>
      </c>
      <c r="J57" s="507">
        <f t="shared" si="17"/>
        <v>134.72</v>
      </c>
      <c r="K57" s="573">
        <f t="shared" si="21"/>
        <v>96.86</v>
      </c>
      <c r="L57" s="560">
        <f t="shared" si="18"/>
        <v>133.9</v>
      </c>
      <c r="M57" s="507">
        <f t="shared" si="19"/>
        <v>91.36</v>
      </c>
      <c r="N57" s="560">
        <f t="shared" si="20"/>
        <v>126.3</v>
      </c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</row>
    <row r="58" spans="1:26" s="514" customFormat="1" ht="15">
      <c r="A58" s="553"/>
      <c r="B58" s="585" t="s">
        <v>654</v>
      </c>
      <c r="C58" s="523"/>
      <c r="D58" s="593"/>
      <c r="E58" s="504"/>
      <c r="F58" s="504"/>
      <c r="G58" s="569"/>
      <c r="H58" s="505"/>
      <c r="I58" s="504"/>
      <c r="J58" s="504"/>
      <c r="K58" s="569"/>
      <c r="L58" s="505"/>
      <c r="M58" s="504"/>
      <c r="N58" s="505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547"/>
    </row>
    <row r="59" spans="1:26" s="514" customFormat="1">
      <c r="A59" s="565">
        <v>7891721026706</v>
      </c>
      <c r="B59" s="583">
        <v>1008903720011</v>
      </c>
      <c r="C59" s="139" t="s">
        <v>657</v>
      </c>
      <c r="D59" s="639" t="s">
        <v>655</v>
      </c>
      <c r="E59" s="507">
        <f t="shared" ref="E59:E60" si="23">ROUND(G59*1.025,2)</f>
        <v>73.25</v>
      </c>
      <c r="F59" s="507">
        <f>ROUND(E59/0.723358,2)</f>
        <v>101.26</v>
      </c>
      <c r="G59" s="573">
        <v>71.458800000000011</v>
      </c>
      <c r="H59" s="560">
        <f>ROUND(G59/0.723358,2)</f>
        <v>98.79</v>
      </c>
      <c r="I59" s="507">
        <v>71.02</v>
      </c>
      <c r="J59" s="507">
        <f>ROUND(I59/0.723358,2)</f>
        <v>98.18</v>
      </c>
      <c r="K59" s="573">
        <f>ROUND(G59*0.987952,2)</f>
        <v>70.599999999999994</v>
      </c>
      <c r="L59" s="560">
        <f>ROUND(K59/0.723358,2)</f>
        <v>97.6</v>
      </c>
      <c r="M59" s="507">
        <f>ROUND(G59*0.931818,2)</f>
        <v>66.59</v>
      </c>
      <c r="N59" s="560">
        <f>ROUND(M59/0.723358,2)</f>
        <v>92.06</v>
      </c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7"/>
    </row>
    <row r="60" spans="1:26" s="514" customFormat="1">
      <c r="A60" s="565">
        <v>7891721026676</v>
      </c>
      <c r="B60" s="583">
        <v>1008903720028</v>
      </c>
      <c r="C60" s="139" t="s">
        <v>658</v>
      </c>
      <c r="D60" s="639" t="s">
        <v>656</v>
      </c>
      <c r="E60" s="507">
        <f t="shared" si="23"/>
        <v>74.23</v>
      </c>
      <c r="F60" s="507">
        <f>ROUND(E60/0.723358,2)</f>
        <v>102.62</v>
      </c>
      <c r="G60" s="573">
        <v>72.421720000000008</v>
      </c>
      <c r="H60" s="560">
        <f>ROUND(G60/0.723358,2)</f>
        <v>100.12</v>
      </c>
      <c r="I60" s="507">
        <f>ROUND(G60*0.993939,2)</f>
        <v>71.98</v>
      </c>
      <c r="J60" s="507">
        <f>ROUND(I60/0.723358,2)</f>
        <v>99.51</v>
      </c>
      <c r="K60" s="573">
        <f>ROUND(G60*0.987952,2)</f>
        <v>71.55</v>
      </c>
      <c r="L60" s="560">
        <f>ROUND(K60/0.723358,2)</f>
        <v>98.91</v>
      </c>
      <c r="M60" s="507">
        <f>ROUND(G60*0.931818,2)</f>
        <v>67.48</v>
      </c>
      <c r="N60" s="560">
        <f>ROUND(M60/0.723358,2)</f>
        <v>93.29</v>
      </c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</row>
    <row r="61" spans="1:26" s="514" customFormat="1" ht="15">
      <c r="A61" s="553"/>
      <c r="B61" s="585" t="s">
        <v>713</v>
      </c>
      <c r="C61" s="523"/>
      <c r="D61" s="593"/>
      <c r="E61" s="504"/>
      <c r="F61" s="504"/>
      <c r="G61" s="569"/>
      <c r="H61" s="505"/>
      <c r="I61" s="504"/>
      <c r="J61" s="504"/>
      <c r="K61" s="569"/>
      <c r="L61" s="505"/>
      <c r="M61" s="504"/>
      <c r="N61" s="505"/>
      <c r="O61" s="547"/>
      <c r="P61" s="547"/>
      <c r="Q61" s="547"/>
      <c r="R61" s="547"/>
      <c r="S61" s="547"/>
      <c r="T61" s="547"/>
      <c r="U61" s="547"/>
      <c r="V61" s="547"/>
      <c r="W61" s="547"/>
      <c r="X61" s="547"/>
      <c r="Y61" s="547"/>
      <c r="Z61" s="547"/>
    </row>
    <row r="62" spans="1:26" s="673" customFormat="1">
      <c r="A62" s="728">
        <v>7894916133005</v>
      </c>
      <c r="B62" s="668">
        <v>1356906160014</v>
      </c>
      <c r="C62" s="665">
        <v>3175310006</v>
      </c>
      <c r="D62" s="729" t="s">
        <v>745</v>
      </c>
      <c r="E62" s="730">
        <f>G62</f>
        <v>17.79</v>
      </c>
      <c r="F62" s="730">
        <f>H62</f>
        <v>24.59</v>
      </c>
      <c r="G62" s="674">
        <v>17.79</v>
      </c>
      <c r="H62" s="731">
        <f>ROUND(G62/0.723358,2)</f>
        <v>24.59</v>
      </c>
      <c r="I62" s="730">
        <f>ROUND(G62*0.993939,2)</f>
        <v>17.68</v>
      </c>
      <c r="J62" s="730">
        <f>ROUND(I62/0.723358,2)</f>
        <v>24.44</v>
      </c>
      <c r="K62" s="674">
        <f>ROUND(G62*0.987952,2)</f>
        <v>17.579999999999998</v>
      </c>
      <c r="L62" s="731">
        <f>ROUND(K62/0.723358,2)</f>
        <v>24.3</v>
      </c>
      <c r="M62" s="730">
        <f>ROUND(G62*0.931818,2)</f>
        <v>16.579999999999998</v>
      </c>
      <c r="N62" s="731">
        <f>ROUND(M62/0.723358,2)</f>
        <v>22.92</v>
      </c>
      <c r="O62" s="732"/>
      <c r="P62" s="732"/>
      <c r="Q62" s="732"/>
      <c r="R62" s="732"/>
      <c r="S62" s="732"/>
      <c r="T62" s="732"/>
      <c r="U62" s="732"/>
      <c r="V62" s="732"/>
      <c r="W62" s="732"/>
      <c r="X62" s="732"/>
      <c r="Y62" s="732"/>
      <c r="Z62" s="732"/>
    </row>
    <row r="63" spans="1:26" s="673" customFormat="1">
      <c r="A63" s="728">
        <v>7894916133043</v>
      </c>
      <c r="B63" s="668">
        <v>1356906160022</v>
      </c>
      <c r="C63" s="665">
        <v>3175310007</v>
      </c>
      <c r="D63" s="729" t="s">
        <v>746</v>
      </c>
      <c r="E63" s="730">
        <f>G63</f>
        <v>35.58</v>
      </c>
      <c r="F63" s="730">
        <f>H63</f>
        <v>49.19</v>
      </c>
      <c r="G63" s="674">
        <v>35.58</v>
      </c>
      <c r="H63" s="731">
        <f>ROUND(G63/0.723358,2)</f>
        <v>49.19</v>
      </c>
      <c r="I63" s="730">
        <f>ROUND(G63*0.993939,2)</f>
        <v>35.36</v>
      </c>
      <c r="J63" s="730">
        <f>ROUND(I63/0.723358,2)</f>
        <v>48.88</v>
      </c>
      <c r="K63" s="674">
        <f>ROUND(G63*0.987952,2)</f>
        <v>35.15</v>
      </c>
      <c r="L63" s="731">
        <f>ROUND(K63/0.723358,2)</f>
        <v>48.59</v>
      </c>
      <c r="M63" s="730">
        <f>ROUND(G63*0.931818,2)</f>
        <v>33.15</v>
      </c>
      <c r="N63" s="731">
        <f>ROUND(M63/0.723358,2)</f>
        <v>45.83</v>
      </c>
      <c r="O63" s="732"/>
      <c r="P63" s="732"/>
      <c r="Q63" s="732"/>
      <c r="R63" s="732"/>
      <c r="S63" s="732"/>
      <c r="T63" s="732"/>
      <c r="U63" s="732"/>
      <c r="V63" s="732"/>
      <c r="W63" s="732"/>
      <c r="X63" s="732"/>
      <c r="Y63" s="732"/>
      <c r="Z63" s="732"/>
    </row>
    <row r="64" spans="1:26" s="514" customFormat="1" ht="15">
      <c r="A64" s="553"/>
      <c r="B64" s="585" t="s">
        <v>307</v>
      </c>
      <c r="C64" s="523"/>
      <c r="D64" s="593"/>
      <c r="E64" s="504"/>
      <c r="F64" s="504"/>
      <c r="G64" s="569"/>
      <c r="H64" s="505"/>
      <c r="I64" s="504"/>
      <c r="J64" s="504"/>
      <c r="K64" s="569"/>
      <c r="L64" s="505"/>
      <c r="M64" s="504"/>
      <c r="N64" s="505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</row>
    <row r="65" spans="1:26" s="514" customFormat="1">
      <c r="A65" s="565">
        <v>7891721010026</v>
      </c>
      <c r="B65" s="583" t="s">
        <v>48</v>
      </c>
      <c r="C65" s="139" t="s">
        <v>436</v>
      </c>
      <c r="D65" s="639" t="s">
        <v>363</v>
      </c>
      <c r="E65" s="507">
        <f t="shared" ref="E65:E66" si="24">ROUND(G65*1.025,2)</f>
        <v>12.19</v>
      </c>
      <c r="F65" s="507">
        <f>ROUND(E65/0.723358,2)</f>
        <v>16.850000000000001</v>
      </c>
      <c r="G65" s="573">
        <v>11.893123999999998</v>
      </c>
      <c r="H65" s="560">
        <f>ROUND(G65/0.723358,2)</f>
        <v>16.440000000000001</v>
      </c>
      <c r="I65" s="507">
        <f>ROUND(G65*0.993939,2)</f>
        <v>11.82</v>
      </c>
      <c r="J65" s="507">
        <f>ROUND(I65/0.723358,2)</f>
        <v>16.34</v>
      </c>
      <c r="K65" s="573">
        <f>ROUND(G65*0.987952,2)</f>
        <v>11.75</v>
      </c>
      <c r="L65" s="560">
        <f>ROUND(K65/0.723358,2)</f>
        <v>16.239999999999998</v>
      </c>
      <c r="M65" s="507">
        <f>ROUND(G65*0.931818,2)</f>
        <v>11.08</v>
      </c>
      <c r="N65" s="560">
        <f>ROUND(M65/0.723358,2)</f>
        <v>15.32</v>
      </c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</row>
    <row r="66" spans="1:26" s="514" customFormat="1">
      <c r="A66" s="565">
        <v>7891721015366</v>
      </c>
      <c r="B66" s="583" t="s">
        <v>49</v>
      </c>
      <c r="C66" s="139" t="s">
        <v>435</v>
      </c>
      <c r="D66" s="639" t="s">
        <v>364</v>
      </c>
      <c r="E66" s="507">
        <f t="shared" si="24"/>
        <v>29.35</v>
      </c>
      <c r="F66" s="507">
        <f>ROUND(E66/0.723358,2)</f>
        <v>40.57</v>
      </c>
      <c r="G66" s="573">
        <v>28.630068000000001</v>
      </c>
      <c r="H66" s="560">
        <f>ROUND(G66/0.723358,2)</f>
        <v>39.58</v>
      </c>
      <c r="I66" s="507">
        <f>ROUND(G66*0.993939,2)</f>
        <v>28.46</v>
      </c>
      <c r="J66" s="507">
        <f>ROUND(I66/0.723358,2)</f>
        <v>39.340000000000003</v>
      </c>
      <c r="K66" s="573">
        <f>ROUND(G66*0.987952,2)</f>
        <v>28.29</v>
      </c>
      <c r="L66" s="560">
        <f>ROUND(K66/0.723358,2)</f>
        <v>39.11</v>
      </c>
      <c r="M66" s="507">
        <f>ROUND(G66*0.931818,2)</f>
        <v>26.68</v>
      </c>
      <c r="N66" s="560">
        <f>ROUND(M66/0.723358,2)</f>
        <v>36.880000000000003</v>
      </c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</row>
    <row r="67" spans="1:26" s="514" customFormat="1" ht="15">
      <c r="A67" s="553"/>
      <c r="B67" s="704" t="s">
        <v>308</v>
      </c>
      <c r="C67" s="705"/>
      <c r="D67" s="706"/>
      <c r="E67" s="504"/>
      <c r="F67" s="504"/>
      <c r="G67" s="569"/>
      <c r="H67" s="505"/>
      <c r="I67" s="504"/>
      <c r="J67" s="504"/>
      <c r="K67" s="569"/>
      <c r="L67" s="505"/>
      <c r="M67" s="504"/>
      <c r="N67" s="505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</row>
    <row r="68" spans="1:26" s="514" customFormat="1">
      <c r="A68" s="561">
        <v>7891721014642</v>
      </c>
      <c r="B68" s="583">
        <v>1008902020618</v>
      </c>
      <c r="C68" s="139" t="s">
        <v>424</v>
      </c>
      <c r="D68" s="594" t="s">
        <v>752</v>
      </c>
      <c r="E68" s="506">
        <f>G68</f>
        <v>18.944184000000003</v>
      </c>
      <c r="F68" s="506">
        <f t="shared" ref="F68:F69" si="25">H68</f>
        <v>26.19</v>
      </c>
      <c r="G68" s="578">
        <v>18.944184000000003</v>
      </c>
      <c r="H68" s="562">
        <f>ROUND(G68/0.723358,2)</f>
        <v>26.19</v>
      </c>
      <c r="I68" s="506">
        <f>ROUND(G68*0.993939,2)</f>
        <v>18.829999999999998</v>
      </c>
      <c r="J68" s="506">
        <f t="shared" ref="J68:J78" si="26">ROUND(I68/0.723358,2)</f>
        <v>26.03</v>
      </c>
      <c r="K68" s="578">
        <f t="shared" ref="K68:K78" si="27">ROUND(G68*0.987952,2)</f>
        <v>18.72</v>
      </c>
      <c r="L68" s="562">
        <f t="shared" ref="L68:L78" si="28">ROUND(K68/0.723358,2)</f>
        <v>25.88</v>
      </c>
      <c r="M68" s="506">
        <f t="shared" ref="M68:M78" si="29">ROUND(G68*0.931818,2)</f>
        <v>17.649999999999999</v>
      </c>
      <c r="N68" s="562">
        <f t="shared" ref="N68:N78" si="30">ROUND(M68/0.723358,2)</f>
        <v>24.4</v>
      </c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</row>
    <row r="69" spans="1:26" s="514" customFormat="1">
      <c r="A69" s="565">
        <v>7891721014697</v>
      </c>
      <c r="B69" s="662">
        <v>1008902020642</v>
      </c>
      <c r="C69" s="139" t="s">
        <v>425</v>
      </c>
      <c r="D69" s="601" t="s">
        <v>622</v>
      </c>
      <c r="E69" s="506">
        <f>G69</f>
        <v>21.701176</v>
      </c>
      <c r="F69" s="506">
        <f t="shared" si="25"/>
        <v>30</v>
      </c>
      <c r="G69" s="578">
        <v>21.701176</v>
      </c>
      <c r="H69" s="562">
        <f>ROUND(G69/0.723358,2)</f>
        <v>30</v>
      </c>
      <c r="I69" s="506">
        <f>ROUND(G69*0.993939,2)</f>
        <v>21.57</v>
      </c>
      <c r="J69" s="506">
        <f t="shared" si="26"/>
        <v>29.82</v>
      </c>
      <c r="K69" s="578">
        <f t="shared" si="27"/>
        <v>21.44</v>
      </c>
      <c r="L69" s="562">
        <f t="shared" si="28"/>
        <v>29.64</v>
      </c>
      <c r="M69" s="506">
        <f t="shared" si="29"/>
        <v>20.22</v>
      </c>
      <c r="N69" s="562">
        <f t="shared" si="30"/>
        <v>27.95</v>
      </c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</row>
    <row r="70" spans="1:26" s="514" customFormat="1">
      <c r="A70" s="565">
        <v>7891721014741</v>
      </c>
      <c r="B70" s="662">
        <v>1008902020677</v>
      </c>
      <c r="C70" s="548" t="s">
        <v>426</v>
      </c>
      <c r="D70" s="594" t="s">
        <v>432</v>
      </c>
      <c r="E70" s="506">
        <f t="shared" ref="E70:E71" si="31">ROUND(G70*1.025,2)</f>
        <v>24.56</v>
      </c>
      <c r="F70" s="506">
        <f>ROUND(E70/0.723358,2)</f>
        <v>33.950000000000003</v>
      </c>
      <c r="G70" s="578">
        <v>23.961504000000001</v>
      </c>
      <c r="H70" s="562">
        <v>33.119999999999997</v>
      </c>
      <c r="I70" s="506">
        <f>ROUND(G70*0.993939,2)</f>
        <v>23.82</v>
      </c>
      <c r="J70" s="506">
        <f t="shared" si="26"/>
        <v>32.93</v>
      </c>
      <c r="K70" s="578">
        <f t="shared" si="27"/>
        <v>23.67</v>
      </c>
      <c r="L70" s="562">
        <f t="shared" si="28"/>
        <v>32.72</v>
      </c>
      <c r="M70" s="506">
        <f t="shared" si="29"/>
        <v>22.33</v>
      </c>
      <c r="N70" s="562">
        <f t="shared" si="30"/>
        <v>30.87</v>
      </c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</row>
    <row r="71" spans="1:26" s="514" customFormat="1">
      <c r="A71" s="565">
        <v>7891721014963</v>
      </c>
      <c r="B71" s="662">
        <v>1008902021347</v>
      </c>
      <c r="C71" s="548" t="s">
        <v>446</v>
      </c>
      <c r="D71" s="601" t="s">
        <v>587</v>
      </c>
      <c r="E71" s="506">
        <f t="shared" si="31"/>
        <v>22.46</v>
      </c>
      <c r="F71" s="506">
        <f>ROUND(E71/0.723358,2)</f>
        <v>31.05</v>
      </c>
      <c r="G71" s="578">
        <v>21.914032000000002</v>
      </c>
      <c r="H71" s="562">
        <f t="shared" ref="H71:H78" si="32">ROUND(G71/0.723358,2)</f>
        <v>30.29</v>
      </c>
      <c r="I71" s="506">
        <f>ROUND(G71*0.993939,2)</f>
        <v>21.78</v>
      </c>
      <c r="J71" s="506">
        <f t="shared" si="26"/>
        <v>30.11</v>
      </c>
      <c r="K71" s="578">
        <f t="shared" si="27"/>
        <v>21.65</v>
      </c>
      <c r="L71" s="562">
        <f t="shared" si="28"/>
        <v>29.93</v>
      </c>
      <c r="M71" s="506">
        <f t="shared" si="29"/>
        <v>20.420000000000002</v>
      </c>
      <c r="N71" s="562">
        <f t="shared" si="30"/>
        <v>28.23</v>
      </c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</row>
    <row r="72" spans="1:26" s="514" customFormat="1">
      <c r="A72" s="565">
        <v>7891721014239</v>
      </c>
      <c r="B72" s="662">
        <v>1008902020707</v>
      </c>
      <c r="C72" s="139" t="s">
        <v>427</v>
      </c>
      <c r="D72" s="601" t="s">
        <v>623</v>
      </c>
      <c r="E72" s="506">
        <f>G72</f>
        <v>24.752112000000004</v>
      </c>
      <c r="F72" s="506">
        <f>H72</f>
        <v>34.22</v>
      </c>
      <c r="G72" s="578">
        <v>24.752112000000004</v>
      </c>
      <c r="H72" s="562">
        <f t="shared" si="32"/>
        <v>34.22</v>
      </c>
      <c r="I72" s="506">
        <f>ROUND(G72*0.993939,2)</f>
        <v>24.6</v>
      </c>
      <c r="J72" s="506">
        <f t="shared" si="26"/>
        <v>34.01</v>
      </c>
      <c r="K72" s="578">
        <f t="shared" si="27"/>
        <v>24.45</v>
      </c>
      <c r="L72" s="562">
        <f t="shared" si="28"/>
        <v>33.799999999999997</v>
      </c>
      <c r="M72" s="506">
        <f t="shared" si="29"/>
        <v>23.06</v>
      </c>
      <c r="N72" s="562">
        <f t="shared" si="30"/>
        <v>31.88</v>
      </c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</row>
    <row r="73" spans="1:26" s="514" customFormat="1">
      <c r="A73" s="565">
        <v>7891721014987</v>
      </c>
      <c r="B73" s="662">
        <v>1008902021398</v>
      </c>
      <c r="C73" s="548" t="s">
        <v>447</v>
      </c>
      <c r="D73" s="601" t="s">
        <v>588</v>
      </c>
      <c r="E73" s="506">
        <f t="shared" ref="E73:E78" si="33">ROUND(G73*1.025,2)</f>
        <v>28.61</v>
      </c>
      <c r="F73" s="506">
        <f t="shared" ref="F73:F78" si="34">ROUND(E73/0.723358,2)</f>
        <v>39.549999999999997</v>
      </c>
      <c r="G73" s="578">
        <v>27.914543999999999</v>
      </c>
      <c r="H73" s="562">
        <f t="shared" si="32"/>
        <v>38.590000000000003</v>
      </c>
      <c r="I73" s="506">
        <v>27.74</v>
      </c>
      <c r="J73" s="506">
        <f t="shared" si="26"/>
        <v>38.35</v>
      </c>
      <c r="K73" s="578">
        <f t="shared" si="27"/>
        <v>27.58</v>
      </c>
      <c r="L73" s="562">
        <f t="shared" si="28"/>
        <v>38.130000000000003</v>
      </c>
      <c r="M73" s="506">
        <f t="shared" si="29"/>
        <v>26.01</v>
      </c>
      <c r="N73" s="562">
        <f t="shared" si="30"/>
        <v>35.96</v>
      </c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</row>
    <row r="74" spans="1:26" s="514" customFormat="1">
      <c r="A74" s="565">
        <v>7891721014086</v>
      </c>
      <c r="B74" s="662">
        <v>1008902020731</v>
      </c>
      <c r="C74" s="548" t="s">
        <v>428</v>
      </c>
      <c r="D74" s="601" t="s">
        <v>764</v>
      </c>
      <c r="E74" s="506">
        <f t="shared" si="33"/>
        <v>28.38</v>
      </c>
      <c r="F74" s="506">
        <f t="shared" si="34"/>
        <v>39.229999999999997</v>
      </c>
      <c r="G74" s="578">
        <v>27.691552000000001</v>
      </c>
      <c r="H74" s="562">
        <f t="shared" si="32"/>
        <v>38.28</v>
      </c>
      <c r="I74" s="506">
        <f>ROUND(G74*0.993939,2)</f>
        <v>27.52</v>
      </c>
      <c r="J74" s="506">
        <f t="shared" si="26"/>
        <v>38.04</v>
      </c>
      <c r="K74" s="578">
        <f t="shared" si="27"/>
        <v>27.36</v>
      </c>
      <c r="L74" s="562">
        <f t="shared" si="28"/>
        <v>37.82</v>
      </c>
      <c r="M74" s="506">
        <f t="shared" si="29"/>
        <v>25.8</v>
      </c>
      <c r="N74" s="562">
        <f t="shared" si="30"/>
        <v>35.67</v>
      </c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</row>
    <row r="75" spans="1:26" s="514" customFormat="1">
      <c r="A75" s="565">
        <v>7891721015007</v>
      </c>
      <c r="B75" s="662">
        <v>1008903590035</v>
      </c>
      <c r="C75" s="548" t="s">
        <v>574</v>
      </c>
      <c r="D75" s="601" t="s">
        <v>575</v>
      </c>
      <c r="E75" s="506">
        <f t="shared" si="33"/>
        <v>30.19</v>
      </c>
      <c r="F75" s="506">
        <f t="shared" si="34"/>
        <v>41.74</v>
      </c>
      <c r="G75" s="578">
        <v>29.455216</v>
      </c>
      <c r="H75" s="562">
        <f t="shared" si="32"/>
        <v>40.72</v>
      </c>
      <c r="I75" s="506">
        <f>ROUND(G75*0.993939,2)</f>
        <v>29.28</v>
      </c>
      <c r="J75" s="506">
        <f t="shared" si="26"/>
        <v>40.479999999999997</v>
      </c>
      <c r="K75" s="578">
        <f t="shared" si="27"/>
        <v>29.1</v>
      </c>
      <c r="L75" s="562">
        <f t="shared" si="28"/>
        <v>40.229999999999997</v>
      </c>
      <c r="M75" s="506">
        <f t="shared" si="29"/>
        <v>27.45</v>
      </c>
      <c r="N75" s="562">
        <f t="shared" si="30"/>
        <v>37.950000000000003</v>
      </c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</row>
    <row r="76" spans="1:26" s="514" customFormat="1">
      <c r="A76" s="565">
        <v>7891721014130</v>
      </c>
      <c r="B76" s="662">
        <v>1008902020766</v>
      </c>
      <c r="C76" s="548" t="s">
        <v>429</v>
      </c>
      <c r="D76" s="601" t="s">
        <v>753</v>
      </c>
      <c r="E76" s="506">
        <f t="shared" si="33"/>
        <v>30.44</v>
      </c>
      <c r="F76" s="506">
        <f t="shared" si="34"/>
        <v>42.08</v>
      </c>
      <c r="G76" s="578">
        <v>29.698480000000004</v>
      </c>
      <c r="H76" s="562">
        <f t="shared" si="32"/>
        <v>41.06</v>
      </c>
      <c r="I76" s="506">
        <f>ROUND(G76*0.993939,2)</f>
        <v>29.52</v>
      </c>
      <c r="J76" s="506">
        <f t="shared" si="26"/>
        <v>40.81</v>
      </c>
      <c r="K76" s="578">
        <f t="shared" si="27"/>
        <v>29.34</v>
      </c>
      <c r="L76" s="562">
        <f t="shared" si="28"/>
        <v>40.56</v>
      </c>
      <c r="M76" s="506">
        <f t="shared" si="29"/>
        <v>27.67</v>
      </c>
      <c r="N76" s="562">
        <f t="shared" si="30"/>
        <v>38.25</v>
      </c>
      <c r="O76" s="547"/>
      <c r="P76" s="547"/>
      <c r="Q76" s="547"/>
      <c r="R76" s="547"/>
      <c r="S76" s="547"/>
      <c r="T76" s="547"/>
      <c r="U76" s="547"/>
      <c r="V76" s="547"/>
      <c r="W76" s="547"/>
      <c r="X76" s="547"/>
      <c r="Y76" s="547"/>
      <c r="Z76" s="547"/>
    </row>
    <row r="77" spans="1:26" s="514" customFormat="1">
      <c r="A77" s="565">
        <v>7891721014185</v>
      </c>
      <c r="B77" s="662">
        <v>1008902020790</v>
      </c>
      <c r="C77" s="548" t="s">
        <v>430</v>
      </c>
      <c r="D77" s="601" t="s">
        <v>433</v>
      </c>
      <c r="E77" s="506">
        <f t="shared" si="33"/>
        <v>34.229999999999997</v>
      </c>
      <c r="F77" s="506">
        <f t="shared" si="34"/>
        <v>47.32</v>
      </c>
      <c r="G77" s="578">
        <v>33.398120000000006</v>
      </c>
      <c r="H77" s="562">
        <f t="shared" si="32"/>
        <v>46.17</v>
      </c>
      <c r="I77" s="506">
        <f>ROUND(G77*0.993939,2)</f>
        <v>33.200000000000003</v>
      </c>
      <c r="J77" s="506">
        <f t="shared" si="26"/>
        <v>45.9</v>
      </c>
      <c r="K77" s="578">
        <f t="shared" si="27"/>
        <v>33</v>
      </c>
      <c r="L77" s="562">
        <f t="shared" si="28"/>
        <v>45.62</v>
      </c>
      <c r="M77" s="506">
        <f t="shared" si="29"/>
        <v>31.12</v>
      </c>
      <c r="N77" s="562">
        <f t="shared" si="30"/>
        <v>43.02</v>
      </c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</row>
    <row r="78" spans="1:26" s="514" customFormat="1">
      <c r="A78" s="565">
        <v>7891721014796</v>
      </c>
      <c r="B78" s="662">
        <v>1008902020820</v>
      </c>
      <c r="C78" s="548" t="s">
        <v>431</v>
      </c>
      <c r="D78" s="594" t="s">
        <v>434</v>
      </c>
      <c r="E78" s="506">
        <f t="shared" si="33"/>
        <v>37.68</v>
      </c>
      <c r="F78" s="506">
        <f t="shared" si="34"/>
        <v>52.09</v>
      </c>
      <c r="G78" s="578">
        <v>36.763272000000008</v>
      </c>
      <c r="H78" s="562">
        <f t="shared" si="32"/>
        <v>50.82</v>
      </c>
      <c r="I78" s="506">
        <f>ROUND(G78*0.993939,2)</f>
        <v>36.54</v>
      </c>
      <c r="J78" s="506">
        <f t="shared" si="26"/>
        <v>50.51</v>
      </c>
      <c r="K78" s="578">
        <f t="shared" si="27"/>
        <v>36.32</v>
      </c>
      <c r="L78" s="562">
        <f t="shared" si="28"/>
        <v>50.21</v>
      </c>
      <c r="M78" s="506">
        <f t="shared" si="29"/>
        <v>34.26</v>
      </c>
      <c r="N78" s="562">
        <f t="shared" si="30"/>
        <v>47.36</v>
      </c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</row>
    <row r="79" spans="1:26" s="514" customFormat="1" ht="15">
      <c r="A79" s="553"/>
      <c r="B79" s="704" t="s">
        <v>356</v>
      </c>
      <c r="C79" s="705"/>
      <c r="D79" s="706"/>
      <c r="E79" s="504"/>
      <c r="F79" s="504"/>
      <c r="G79" s="569"/>
      <c r="H79" s="505"/>
      <c r="I79" s="504"/>
      <c r="J79" s="504"/>
      <c r="K79" s="569"/>
      <c r="L79" s="505"/>
      <c r="M79" s="504"/>
      <c r="N79" s="505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</row>
    <row r="80" spans="1:26" s="514" customFormat="1">
      <c r="A80" s="565">
        <v>7891721000911</v>
      </c>
      <c r="B80" s="583">
        <v>1008902150023</v>
      </c>
      <c r="C80" s="139" t="s">
        <v>526</v>
      </c>
      <c r="D80" s="639" t="s">
        <v>488</v>
      </c>
      <c r="E80" s="507">
        <f>ROUND(G80*1.025,2)</f>
        <v>47.99</v>
      </c>
      <c r="F80" s="507">
        <f>ROUND(E80/0.723358,2)</f>
        <v>66.34</v>
      </c>
      <c r="G80" s="573">
        <v>46.820157999999999</v>
      </c>
      <c r="H80" s="560">
        <f>ROUND(G80/0.723358,2)</f>
        <v>64.73</v>
      </c>
      <c r="I80" s="507">
        <f>ROUND(G80*0.993939,2)</f>
        <v>46.54</v>
      </c>
      <c r="J80" s="507">
        <f>ROUND(I80/0.723358,2)</f>
        <v>64.34</v>
      </c>
      <c r="K80" s="573">
        <f>ROUND(G80*0.987952,2)</f>
        <v>46.26</v>
      </c>
      <c r="L80" s="560">
        <f>ROUND(K80/0.723358,2)</f>
        <v>63.95</v>
      </c>
      <c r="M80" s="507">
        <f>ROUND(G80*0.931818,2)</f>
        <v>43.63</v>
      </c>
      <c r="N80" s="560">
        <f>ROUND(M80/0.723358,2)</f>
        <v>60.32</v>
      </c>
      <c r="O80" s="547"/>
      <c r="P80" s="547"/>
      <c r="Q80" s="547"/>
      <c r="R80" s="547"/>
      <c r="S80" s="547"/>
      <c r="T80" s="547"/>
      <c r="U80" s="547"/>
      <c r="V80" s="547"/>
      <c r="W80" s="547"/>
      <c r="X80" s="547"/>
      <c r="Y80" s="547"/>
      <c r="Z80" s="547"/>
    </row>
    <row r="81" spans="1:26" s="514" customFormat="1" ht="15">
      <c r="A81" s="553"/>
      <c r="B81" s="585" t="s">
        <v>418</v>
      </c>
      <c r="C81" s="523"/>
      <c r="D81" s="593"/>
      <c r="E81" s="504"/>
      <c r="F81" s="504"/>
      <c r="G81" s="569"/>
      <c r="H81" s="505"/>
      <c r="I81" s="504"/>
      <c r="J81" s="504"/>
      <c r="K81" s="569"/>
      <c r="L81" s="505"/>
      <c r="M81" s="504"/>
      <c r="N81" s="505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</row>
    <row r="82" spans="1:26" s="514" customFormat="1">
      <c r="A82" s="565">
        <v>7891721015496</v>
      </c>
      <c r="B82" s="583">
        <v>1008903410010</v>
      </c>
      <c r="C82" s="139" t="s">
        <v>419</v>
      </c>
      <c r="D82" s="639" t="s">
        <v>624</v>
      </c>
      <c r="E82" s="507">
        <f>G82</f>
        <v>20.417724</v>
      </c>
      <c r="F82" s="507">
        <f t="shared" ref="F82:F83" si="35">H82</f>
        <v>28.23</v>
      </c>
      <c r="G82" s="573">
        <v>20.417724</v>
      </c>
      <c r="H82" s="560">
        <f>ROUND(G82/0.723358,2)</f>
        <v>28.23</v>
      </c>
      <c r="I82" s="507">
        <f>ROUND(G82*0.993939,2)</f>
        <v>20.29</v>
      </c>
      <c r="J82" s="507">
        <f>ROUND(I82/0.723358,2)</f>
        <v>28.05</v>
      </c>
      <c r="K82" s="573">
        <f>ROUND(G82*0.987952,2)</f>
        <v>20.170000000000002</v>
      </c>
      <c r="L82" s="560">
        <f>ROUND(K82/0.723358,2)</f>
        <v>27.88</v>
      </c>
      <c r="M82" s="507">
        <v>19.02</v>
      </c>
      <c r="N82" s="560">
        <f>ROUND(M82/0.723358,2)</f>
        <v>26.29</v>
      </c>
      <c r="O82" s="547"/>
      <c r="P82" s="547"/>
      <c r="Q82" s="547"/>
      <c r="R82" s="547"/>
      <c r="S82" s="547"/>
      <c r="T82" s="547"/>
      <c r="U82" s="547"/>
      <c r="V82" s="547"/>
      <c r="W82" s="547"/>
      <c r="X82" s="547"/>
      <c r="Y82" s="547"/>
      <c r="Z82" s="547"/>
    </row>
    <row r="83" spans="1:26" s="514" customFormat="1">
      <c r="A83" s="565">
        <v>7891721015502</v>
      </c>
      <c r="B83" s="583">
        <v>1008903410029</v>
      </c>
      <c r="C83" s="139" t="s">
        <v>420</v>
      </c>
      <c r="D83" s="639" t="s">
        <v>625</v>
      </c>
      <c r="E83" s="507">
        <f>G83</f>
        <v>39.588804000000003</v>
      </c>
      <c r="F83" s="507">
        <f t="shared" si="35"/>
        <v>54.73</v>
      </c>
      <c r="G83" s="573">
        <v>39.588804000000003</v>
      </c>
      <c r="H83" s="560">
        <f>ROUND(G83/0.723358,2)</f>
        <v>54.73</v>
      </c>
      <c r="I83" s="507">
        <f>ROUND(G83*0.993939,2)</f>
        <v>39.35</v>
      </c>
      <c r="J83" s="507">
        <f>ROUND(I83/0.723358,2)</f>
        <v>54.4</v>
      </c>
      <c r="K83" s="573">
        <f>ROUND(G83*0.987952,2)</f>
        <v>39.11</v>
      </c>
      <c r="L83" s="560">
        <f>ROUND(K83/0.723358,2)</f>
        <v>54.07</v>
      </c>
      <c r="M83" s="507">
        <f>ROUND(G83*0.931818,2)</f>
        <v>36.89</v>
      </c>
      <c r="N83" s="560">
        <f>ROUND(M83/0.723358,2)</f>
        <v>51</v>
      </c>
      <c r="O83" s="547"/>
      <c r="P83" s="547"/>
      <c r="Q83" s="547"/>
      <c r="R83" s="547"/>
      <c r="S83" s="547"/>
      <c r="T83" s="547"/>
      <c r="U83" s="547"/>
      <c r="V83" s="547"/>
      <c r="W83" s="547"/>
      <c r="X83" s="547"/>
      <c r="Y83" s="547"/>
      <c r="Z83" s="547"/>
    </row>
    <row r="84" spans="1:26" s="514" customFormat="1" ht="15">
      <c r="A84" s="553"/>
      <c r="B84" s="704" t="s">
        <v>370</v>
      </c>
      <c r="C84" s="705"/>
      <c r="D84" s="706"/>
      <c r="E84" s="504"/>
      <c r="F84" s="504"/>
      <c r="G84" s="569"/>
      <c r="H84" s="505"/>
      <c r="I84" s="504"/>
      <c r="J84" s="504"/>
      <c r="K84" s="569"/>
      <c r="L84" s="505"/>
      <c r="M84" s="504"/>
      <c r="N84" s="505"/>
      <c r="O84" s="547"/>
      <c r="P84" s="547"/>
      <c r="Q84" s="547"/>
      <c r="R84" s="547"/>
      <c r="S84" s="547"/>
      <c r="T84" s="547"/>
      <c r="U84" s="547"/>
      <c r="V84" s="547"/>
      <c r="W84" s="547"/>
      <c r="X84" s="547"/>
      <c r="Y84" s="547"/>
      <c r="Z84" s="547"/>
    </row>
    <row r="85" spans="1:26" s="514" customFormat="1">
      <c r="A85" s="565">
        <v>7891721027468</v>
      </c>
      <c r="B85" s="583">
        <v>1008903400031</v>
      </c>
      <c r="C85" s="139" t="s">
        <v>666</v>
      </c>
      <c r="D85" s="639" t="s">
        <v>697</v>
      </c>
      <c r="E85" s="507">
        <f>G85</f>
        <v>10.1</v>
      </c>
      <c r="F85" s="507">
        <f>H85</f>
        <v>13.96</v>
      </c>
      <c r="G85" s="573">
        <v>10.1</v>
      </c>
      <c r="H85" s="560">
        <f>ROUND(G85/0.723358,2)</f>
        <v>13.96</v>
      </c>
      <c r="I85" s="507">
        <f>ROUND(G85*0.993939,2)</f>
        <v>10.039999999999999</v>
      </c>
      <c r="J85" s="507">
        <f>ROUND(I85/0.723358,2)</f>
        <v>13.88</v>
      </c>
      <c r="K85" s="573">
        <f>ROUND(G85*0.987952,2)</f>
        <v>9.98</v>
      </c>
      <c r="L85" s="560">
        <f>ROUND(K85/0.723358,2)</f>
        <v>13.8</v>
      </c>
      <c r="M85" s="507">
        <f>ROUND(G85*0.931818,2)</f>
        <v>9.41</v>
      </c>
      <c r="N85" s="560">
        <f>ROUND(M85/0.723358,2)</f>
        <v>13.01</v>
      </c>
      <c r="O85" s="547"/>
      <c r="P85" s="547"/>
      <c r="Q85" s="547"/>
      <c r="R85" s="547"/>
      <c r="S85" s="547"/>
      <c r="T85" s="547"/>
      <c r="U85" s="547"/>
      <c r="V85" s="547"/>
      <c r="W85" s="547"/>
      <c r="X85" s="547"/>
      <c r="Y85" s="547"/>
      <c r="Z85" s="547"/>
    </row>
    <row r="86" spans="1:26" s="514" customFormat="1">
      <c r="A86" s="561">
        <v>7891721027444</v>
      </c>
      <c r="B86" s="583">
        <v>1008903400090</v>
      </c>
      <c r="C86" s="139" t="s">
        <v>668</v>
      </c>
      <c r="D86" s="601" t="s">
        <v>555</v>
      </c>
      <c r="E86" s="506">
        <f t="shared" ref="E86:E89" si="36">ROUND(G86*1.025,2)</f>
        <v>6.94</v>
      </c>
      <c r="F86" s="506">
        <f>ROUND(E86/0.723358,2)</f>
        <v>9.59</v>
      </c>
      <c r="G86" s="573">
        <v>6.770848</v>
      </c>
      <c r="H86" s="562">
        <f>ROUND(G86/0.723358,2)</f>
        <v>9.36</v>
      </c>
      <c r="I86" s="506">
        <f>ROUND(G86*0.993939,2)</f>
        <v>6.73</v>
      </c>
      <c r="J86" s="506">
        <f>ROUND(I86/0.723358,2)</f>
        <v>9.3000000000000007</v>
      </c>
      <c r="K86" s="578">
        <f>ROUND(G86*0.987952,2)</f>
        <v>6.69</v>
      </c>
      <c r="L86" s="562">
        <f>ROUND(K86/0.723358,2)</f>
        <v>9.25</v>
      </c>
      <c r="M86" s="506">
        <f>ROUND(G86*0.931818,2)</f>
        <v>6.31</v>
      </c>
      <c r="N86" s="562">
        <f>ROUND(M86/0.723358,2)</f>
        <v>8.7200000000000006</v>
      </c>
      <c r="O86" s="547"/>
      <c r="P86" s="547"/>
      <c r="Q86" s="547"/>
      <c r="R86" s="547"/>
      <c r="S86" s="547"/>
      <c r="T86" s="547"/>
      <c r="U86" s="547"/>
      <c r="V86" s="547"/>
      <c r="W86" s="547"/>
      <c r="X86" s="547"/>
      <c r="Y86" s="547"/>
      <c r="Z86" s="547"/>
    </row>
    <row r="87" spans="1:26" s="514" customFormat="1">
      <c r="A87" s="561">
        <v>7891721027451</v>
      </c>
      <c r="B87" s="583">
        <v>1008903400120</v>
      </c>
      <c r="C87" s="139" t="s">
        <v>667</v>
      </c>
      <c r="D87" s="601" t="s">
        <v>556</v>
      </c>
      <c r="E87" s="506">
        <f t="shared" si="36"/>
        <v>20.82</v>
      </c>
      <c r="F87" s="506">
        <f>ROUND(E87/0.723358,2)</f>
        <v>28.78</v>
      </c>
      <c r="G87" s="573">
        <v>20.312543999999999</v>
      </c>
      <c r="H87" s="562">
        <f>ROUND(G87/0.723358,2)</f>
        <v>28.08</v>
      </c>
      <c r="I87" s="506">
        <f>ROUND(G87*0.993939,2)</f>
        <v>20.190000000000001</v>
      </c>
      <c r="J87" s="506">
        <f>ROUND(I87/0.723358,2)</f>
        <v>27.91</v>
      </c>
      <c r="K87" s="578">
        <f>ROUND(G87*0.987952,2)</f>
        <v>20.07</v>
      </c>
      <c r="L87" s="562">
        <f>ROUND(K87/0.723358,2)</f>
        <v>27.75</v>
      </c>
      <c r="M87" s="506">
        <f>ROUND(G87*0.931818,2)</f>
        <v>18.93</v>
      </c>
      <c r="N87" s="562">
        <f>ROUND(M87/0.723358,2)</f>
        <v>26.17</v>
      </c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</row>
    <row r="88" spans="1:26" s="514" customFormat="1">
      <c r="A88" s="561">
        <v>7891721022562</v>
      </c>
      <c r="B88" s="583">
        <v>1008903400171</v>
      </c>
      <c r="C88" s="139" t="s">
        <v>591</v>
      </c>
      <c r="D88" s="601" t="s">
        <v>593</v>
      </c>
      <c r="E88" s="506">
        <f t="shared" si="36"/>
        <v>9.64</v>
      </c>
      <c r="F88" s="506">
        <f>ROUND(E88/0.723358,2)</f>
        <v>13.33</v>
      </c>
      <c r="G88" s="573">
        <v>9.4</v>
      </c>
      <c r="H88" s="562">
        <f>ROUND(G88/0.723358,2)</f>
        <v>12.99</v>
      </c>
      <c r="I88" s="506">
        <f>ROUND(G88*0.993939,2)</f>
        <v>9.34</v>
      </c>
      <c r="J88" s="506">
        <f>ROUND(I88/0.723358,2)</f>
        <v>12.91</v>
      </c>
      <c r="K88" s="578">
        <v>9.2799999999999994</v>
      </c>
      <c r="L88" s="562">
        <f>ROUND(K88/0.723358,2)</f>
        <v>12.83</v>
      </c>
      <c r="M88" s="506">
        <f>ROUND(G88*0.931818,2)</f>
        <v>8.76</v>
      </c>
      <c r="N88" s="562">
        <f>ROUND(M88/0.723358,2)</f>
        <v>12.11</v>
      </c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</row>
    <row r="89" spans="1:26" s="514" customFormat="1">
      <c r="A89" s="561">
        <v>7891721022579</v>
      </c>
      <c r="B89" s="583">
        <v>1008903400181</v>
      </c>
      <c r="C89" s="139" t="s">
        <v>590</v>
      </c>
      <c r="D89" s="601" t="s">
        <v>594</v>
      </c>
      <c r="E89" s="506">
        <f t="shared" si="36"/>
        <v>28.92</v>
      </c>
      <c r="F89" s="506">
        <f>ROUND(E89/0.723358,2)</f>
        <v>39.979999999999997</v>
      </c>
      <c r="G89" s="573">
        <v>28.218624000000002</v>
      </c>
      <c r="H89" s="562">
        <f>ROUND(G89/0.723358,2)</f>
        <v>39.01</v>
      </c>
      <c r="I89" s="506">
        <f>ROUND(G89*0.993939,2)</f>
        <v>28.05</v>
      </c>
      <c r="J89" s="506">
        <f>ROUND(I89/0.723358,2)</f>
        <v>38.78</v>
      </c>
      <c r="K89" s="578">
        <f>ROUND(G89*0.987952,2)</f>
        <v>27.88</v>
      </c>
      <c r="L89" s="562">
        <f>ROUND(K89/0.723358,2)</f>
        <v>38.54</v>
      </c>
      <c r="M89" s="506">
        <f>ROUND(G89*0.931818,2)</f>
        <v>26.29</v>
      </c>
      <c r="N89" s="562">
        <f>ROUND(M89/0.723358,2)</f>
        <v>36.340000000000003</v>
      </c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</row>
    <row r="90" spans="1:26" s="514" customFormat="1" ht="15">
      <c r="A90" s="553"/>
      <c r="B90" s="704" t="s">
        <v>309</v>
      </c>
      <c r="C90" s="705"/>
      <c r="D90" s="706"/>
      <c r="E90" s="504"/>
      <c r="F90" s="504"/>
      <c r="G90" s="569"/>
      <c r="H90" s="505"/>
      <c r="I90" s="504"/>
      <c r="J90" s="504"/>
      <c r="K90" s="569"/>
      <c r="L90" s="505"/>
      <c r="M90" s="504"/>
      <c r="N90" s="505"/>
      <c r="O90" s="547"/>
      <c r="P90" s="547"/>
      <c r="Q90" s="547"/>
      <c r="R90" s="547"/>
      <c r="S90" s="547"/>
      <c r="T90" s="547"/>
      <c r="U90" s="547"/>
      <c r="V90" s="547"/>
      <c r="W90" s="547"/>
      <c r="X90" s="547"/>
      <c r="Y90" s="547"/>
      <c r="Z90" s="547"/>
    </row>
    <row r="91" spans="1:26" s="514" customFormat="1">
      <c r="A91" s="227">
        <v>7891721000614</v>
      </c>
      <c r="B91" s="583">
        <v>1008901930025</v>
      </c>
      <c r="C91" s="93" t="s">
        <v>399</v>
      </c>
      <c r="D91" s="591" t="s">
        <v>680</v>
      </c>
      <c r="E91" s="518">
        <f>G91</f>
        <v>14.920192000000002</v>
      </c>
      <c r="F91" s="518">
        <f t="shared" ref="F91:F92" si="37">H91</f>
        <v>20.63</v>
      </c>
      <c r="G91" s="570">
        <v>14.920192000000002</v>
      </c>
      <c r="H91" s="555">
        <f>ROUND(G91/0.723358,2)</f>
        <v>20.63</v>
      </c>
      <c r="I91" s="518">
        <f>ROUND(G91*0.993939,2)</f>
        <v>14.83</v>
      </c>
      <c r="J91" s="518">
        <f>ROUND(I91/0.723358,2)</f>
        <v>20.5</v>
      </c>
      <c r="K91" s="570">
        <f>ROUND(G91*0.987952,2)</f>
        <v>14.74</v>
      </c>
      <c r="L91" s="555">
        <f>ROUND(K91/0.723358,2)</f>
        <v>20.38</v>
      </c>
      <c r="M91" s="518">
        <f>ROUND(G91*0.931818,2)</f>
        <v>13.9</v>
      </c>
      <c r="N91" s="555">
        <f>ROUND(M91/0.723358,2)</f>
        <v>19.22</v>
      </c>
      <c r="O91" s="547"/>
      <c r="P91" s="547"/>
      <c r="Q91" s="547"/>
      <c r="R91" s="547"/>
      <c r="S91" s="547"/>
      <c r="T91" s="547"/>
      <c r="U91" s="547"/>
      <c r="V91" s="547"/>
      <c r="W91" s="547"/>
      <c r="X91" s="547"/>
      <c r="Y91" s="547"/>
      <c r="Z91" s="547"/>
    </row>
    <row r="92" spans="1:26" s="514" customFormat="1">
      <c r="A92" s="227">
        <v>7891721027437</v>
      </c>
      <c r="B92" s="583" t="s">
        <v>21</v>
      </c>
      <c r="C92" s="93" t="s">
        <v>665</v>
      </c>
      <c r="D92" s="591" t="s">
        <v>698</v>
      </c>
      <c r="E92" s="518">
        <f>G92</f>
        <v>20.038872000000001</v>
      </c>
      <c r="F92" s="518">
        <f t="shared" si="37"/>
        <v>27.7</v>
      </c>
      <c r="G92" s="570">
        <v>20.038872000000001</v>
      </c>
      <c r="H92" s="555">
        <f>ROUND(G92/0.723358,2)</f>
        <v>27.7</v>
      </c>
      <c r="I92" s="518">
        <f>ROUND(G92*0.993939,2)</f>
        <v>19.920000000000002</v>
      </c>
      <c r="J92" s="518">
        <f>ROUND(I92/0.723358,2)</f>
        <v>27.54</v>
      </c>
      <c r="K92" s="570">
        <f>ROUND(G92*0.987952,2)</f>
        <v>19.8</v>
      </c>
      <c r="L92" s="555">
        <f>ROUND(K92/0.723358,2)</f>
        <v>27.37</v>
      </c>
      <c r="M92" s="518">
        <f>ROUND(G92*0.931818,2)</f>
        <v>18.670000000000002</v>
      </c>
      <c r="N92" s="555">
        <f>ROUND(M92/0.723358,2)</f>
        <v>25.81</v>
      </c>
      <c r="O92" s="547"/>
      <c r="P92" s="547"/>
      <c r="Q92" s="547"/>
      <c r="R92" s="547"/>
      <c r="S92" s="547"/>
      <c r="T92" s="547"/>
      <c r="U92" s="547"/>
      <c r="V92" s="547"/>
      <c r="W92" s="547"/>
      <c r="X92" s="547"/>
      <c r="Y92" s="547"/>
      <c r="Z92" s="547"/>
    </row>
    <row r="93" spans="1:26" s="514" customFormat="1">
      <c r="A93" s="227">
        <v>7891721044137</v>
      </c>
      <c r="B93" s="583" t="s">
        <v>17</v>
      </c>
      <c r="C93" s="93" t="s">
        <v>400</v>
      </c>
      <c r="D93" s="590" t="s">
        <v>495</v>
      </c>
      <c r="E93" s="518">
        <f>ROUND(G93*1.025,2)</f>
        <v>29.16</v>
      </c>
      <c r="F93" s="518">
        <f>ROUND(E93/0.723358,2)</f>
        <v>40.31</v>
      </c>
      <c r="G93" s="570">
        <v>28.451752000000003</v>
      </c>
      <c r="H93" s="555">
        <f>ROUND(G93/0.723358,2)</f>
        <v>39.33</v>
      </c>
      <c r="I93" s="518">
        <f>ROUND(G93*0.993939,2)</f>
        <v>28.28</v>
      </c>
      <c r="J93" s="518">
        <f>ROUND(I93/0.723358,2)</f>
        <v>39.1</v>
      </c>
      <c r="K93" s="570">
        <f>ROUND(G93*0.987952,2)</f>
        <v>28.11</v>
      </c>
      <c r="L93" s="555">
        <f>ROUND(K93/0.723358,2)</f>
        <v>38.86</v>
      </c>
      <c r="M93" s="518">
        <f>ROUND(G93*0.931818,2)</f>
        <v>26.51</v>
      </c>
      <c r="N93" s="555">
        <f>ROUND(M93/0.723358,2)</f>
        <v>36.65</v>
      </c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7"/>
      <c r="Z93" s="547"/>
    </row>
    <row r="94" spans="1:26" s="514" customFormat="1" ht="15">
      <c r="A94" s="553"/>
      <c r="B94" s="585" t="s">
        <v>313</v>
      </c>
      <c r="C94" s="523"/>
      <c r="D94" s="593"/>
      <c r="E94" s="504"/>
      <c r="F94" s="504"/>
      <c r="G94" s="569"/>
      <c r="H94" s="505"/>
      <c r="I94" s="504"/>
      <c r="J94" s="504"/>
      <c r="K94" s="569"/>
      <c r="L94" s="505"/>
      <c r="M94" s="504"/>
      <c r="N94" s="505"/>
      <c r="O94" s="547"/>
      <c r="P94" s="547"/>
      <c r="Q94" s="547"/>
      <c r="R94" s="547"/>
      <c r="S94" s="547"/>
      <c r="T94" s="547"/>
      <c r="U94" s="547"/>
      <c r="V94" s="547"/>
      <c r="W94" s="547"/>
      <c r="X94" s="547"/>
      <c r="Y94" s="547"/>
      <c r="Z94" s="547"/>
    </row>
    <row r="95" spans="1:26" s="514" customFormat="1">
      <c r="A95" s="565">
        <v>7891721026607</v>
      </c>
      <c r="B95" s="583" t="s">
        <v>18</v>
      </c>
      <c r="C95" s="139" t="s">
        <v>661</v>
      </c>
      <c r="D95" s="639" t="s">
        <v>531</v>
      </c>
      <c r="E95" s="507">
        <f t="shared" ref="E95:E99" si="38">ROUND(G95*1.025,2)</f>
        <v>11.16</v>
      </c>
      <c r="F95" s="507">
        <f>ROUND(E95/0.723358,2)</f>
        <v>15.43</v>
      </c>
      <c r="G95" s="573">
        <v>10.886064000000001</v>
      </c>
      <c r="H95" s="560">
        <f>ROUND(G95/0.723358,2)</f>
        <v>15.05</v>
      </c>
      <c r="I95" s="507">
        <f>ROUND(G95*0.993939,2)</f>
        <v>10.82</v>
      </c>
      <c r="J95" s="507">
        <f>ROUND(I95/0.723358,2)</f>
        <v>14.96</v>
      </c>
      <c r="K95" s="573">
        <f>ROUND(G95*0.987952,2)</f>
        <v>10.75</v>
      </c>
      <c r="L95" s="560">
        <f>ROUND(K95/0.723358,2)</f>
        <v>14.86</v>
      </c>
      <c r="M95" s="507">
        <f>ROUND(G95*0.931818,2)</f>
        <v>10.14</v>
      </c>
      <c r="N95" s="560">
        <f>ROUND(M95/0.723358,2)</f>
        <v>14.02</v>
      </c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</row>
    <row r="96" spans="1:26" s="514" customFormat="1">
      <c r="A96" s="561">
        <v>7891721026614</v>
      </c>
      <c r="B96" s="583">
        <v>1008902700066</v>
      </c>
      <c r="C96" s="139" t="s">
        <v>659</v>
      </c>
      <c r="D96" s="601" t="s">
        <v>532</v>
      </c>
      <c r="E96" s="506">
        <f t="shared" si="38"/>
        <v>22.41</v>
      </c>
      <c r="F96" s="506">
        <f>ROUND(E96/0.723358,2)</f>
        <v>30.98</v>
      </c>
      <c r="G96" s="573">
        <v>21.863352000000003</v>
      </c>
      <c r="H96" s="562">
        <f>ROUND(G96/0.723358,2)</f>
        <v>30.22</v>
      </c>
      <c r="I96" s="506">
        <f>ROUND(G96*0.993939,2)</f>
        <v>21.73</v>
      </c>
      <c r="J96" s="506">
        <f>ROUND(I96/0.723358,2)</f>
        <v>30.04</v>
      </c>
      <c r="K96" s="578">
        <f>ROUND(G96*0.987952,2)</f>
        <v>21.6</v>
      </c>
      <c r="L96" s="562">
        <f>ROUND(K96/0.723358,2)</f>
        <v>29.86</v>
      </c>
      <c r="M96" s="506">
        <f>ROUND(G96*0.931818,2)</f>
        <v>20.37</v>
      </c>
      <c r="N96" s="562">
        <f>ROUND(M96/0.723358,2)</f>
        <v>28.16</v>
      </c>
      <c r="O96" s="547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</row>
    <row r="97" spans="1:26" s="514" customFormat="1">
      <c r="A97" s="561">
        <v>7891721026652</v>
      </c>
      <c r="B97" s="583">
        <v>1008902700181</v>
      </c>
      <c r="C97" s="139" t="s">
        <v>671</v>
      </c>
      <c r="D97" s="601" t="s">
        <v>536</v>
      </c>
      <c r="E97" s="506">
        <f t="shared" si="38"/>
        <v>9.6999999999999993</v>
      </c>
      <c r="F97" s="506">
        <f>ROUND(E97/0.723358,2)</f>
        <v>13.41</v>
      </c>
      <c r="G97" s="573">
        <v>9.4670240000000003</v>
      </c>
      <c r="H97" s="562">
        <f>ROUND(G97/0.723358,2)</f>
        <v>13.09</v>
      </c>
      <c r="I97" s="506">
        <f>ROUND(G97*0.993939,2)</f>
        <v>9.41</v>
      </c>
      <c r="J97" s="506">
        <f>ROUND(I97/0.723358,2)</f>
        <v>13.01</v>
      </c>
      <c r="K97" s="578">
        <f>ROUND(G97*0.987952,2)</f>
        <v>9.35</v>
      </c>
      <c r="L97" s="562">
        <f>ROUND(K97/0.723358,2)</f>
        <v>12.93</v>
      </c>
      <c r="M97" s="506">
        <f>ROUND(G97*0.931818,2)</f>
        <v>8.82</v>
      </c>
      <c r="N97" s="562">
        <f>ROUND(M97/0.723358,2)</f>
        <v>12.19</v>
      </c>
      <c r="O97" s="547"/>
      <c r="P97" s="547"/>
      <c r="Q97" s="547"/>
      <c r="R97" s="547"/>
      <c r="S97" s="547"/>
      <c r="T97" s="547"/>
      <c r="U97" s="547"/>
      <c r="V97" s="547"/>
      <c r="W97" s="547"/>
      <c r="X97" s="547"/>
      <c r="Y97" s="547"/>
      <c r="Z97" s="547"/>
    </row>
    <row r="98" spans="1:26" s="514" customFormat="1">
      <c r="A98" s="561">
        <v>7891721026621</v>
      </c>
      <c r="B98" s="583">
        <v>1008902700112</v>
      </c>
      <c r="C98" s="139" t="s">
        <v>660</v>
      </c>
      <c r="D98" s="601" t="s">
        <v>533</v>
      </c>
      <c r="E98" s="506">
        <f t="shared" si="38"/>
        <v>29.1</v>
      </c>
      <c r="F98" s="506">
        <f>ROUND(E98/0.723358,2)</f>
        <v>40.229999999999997</v>
      </c>
      <c r="G98" s="573">
        <v>28.390936000000004</v>
      </c>
      <c r="H98" s="562">
        <f>ROUND(G98/0.723358,2)</f>
        <v>39.25</v>
      </c>
      <c r="I98" s="506">
        <f>ROUND(G98*0.993939,2)</f>
        <v>28.22</v>
      </c>
      <c r="J98" s="506">
        <f>ROUND(I98/0.723358,2)</f>
        <v>39.01</v>
      </c>
      <c r="K98" s="578">
        <f>ROUND(G98*0.987952,2)</f>
        <v>28.05</v>
      </c>
      <c r="L98" s="562">
        <f>ROUND(K98/0.723358,2)</f>
        <v>38.78</v>
      </c>
      <c r="M98" s="506">
        <v>26.45</v>
      </c>
      <c r="N98" s="562">
        <f>ROUND(M98/0.723358,2)</f>
        <v>36.57</v>
      </c>
      <c r="O98" s="547"/>
      <c r="P98" s="547"/>
      <c r="Q98" s="547"/>
      <c r="R98" s="547"/>
      <c r="S98" s="547"/>
      <c r="T98" s="547"/>
      <c r="U98" s="547"/>
      <c r="V98" s="547"/>
      <c r="W98" s="547"/>
      <c r="X98" s="547"/>
      <c r="Y98" s="547"/>
      <c r="Z98" s="547"/>
    </row>
    <row r="99" spans="1:26" s="514" customFormat="1">
      <c r="A99" s="561">
        <v>7891721025839</v>
      </c>
      <c r="B99" s="583">
        <v>1008902700201</v>
      </c>
      <c r="C99" s="139" t="s">
        <v>592</v>
      </c>
      <c r="D99" s="601" t="s">
        <v>589</v>
      </c>
      <c r="E99" s="506">
        <f t="shared" si="38"/>
        <v>50</v>
      </c>
      <c r="F99" s="506">
        <f>ROUND(E99/0.723358,2)</f>
        <v>69.12</v>
      </c>
      <c r="G99" s="573">
        <v>48.784568000000007</v>
      </c>
      <c r="H99" s="562">
        <f>ROUND(G99/0.723358,2)</f>
        <v>67.44</v>
      </c>
      <c r="I99" s="506">
        <f>ROUND(G99*0.993939,2)</f>
        <v>48.49</v>
      </c>
      <c r="J99" s="506">
        <f>ROUND(I99/0.723358,2)</f>
        <v>67.03</v>
      </c>
      <c r="K99" s="578">
        <f>ROUND(G99*0.987952,2)</f>
        <v>48.2</v>
      </c>
      <c r="L99" s="562">
        <f>ROUND(K99/0.723358,2)</f>
        <v>66.63</v>
      </c>
      <c r="M99" s="506">
        <f>ROUND(G99*0.931818,2)</f>
        <v>45.46</v>
      </c>
      <c r="N99" s="562">
        <f>ROUND(M99/0.723358,2)</f>
        <v>62.85</v>
      </c>
      <c r="O99" s="547"/>
      <c r="P99" s="547"/>
      <c r="Q99" s="547"/>
      <c r="R99" s="547"/>
      <c r="S99" s="547"/>
      <c r="T99" s="547"/>
      <c r="U99" s="547"/>
      <c r="V99" s="547"/>
      <c r="W99" s="547"/>
      <c r="X99" s="547"/>
      <c r="Y99" s="547"/>
      <c r="Z99" s="547"/>
    </row>
    <row r="100" spans="1:26" s="150" customFormat="1" ht="15">
      <c r="A100" s="553"/>
      <c r="B100" s="704" t="s">
        <v>371</v>
      </c>
      <c r="C100" s="705"/>
      <c r="D100" s="706"/>
      <c r="E100" s="504"/>
      <c r="F100" s="504"/>
      <c r="G100" s="569"/>
      <c r="H100" s="505"/>
      <c r="I100" s="504"/>
      <c r="J100" s="504"/>
      <c r="K100" s="569"/>
      <c r="L100" s="505"/>
      <c r="M100" s="504"/>
      <c r="N100" s="505"/>
      <c r="O100" s="545"/>
      <c r="P100" s="545"/>
      <c r="Q100" s="545"/>
      <c r="R100" s="545"/>
      <c r="S100" s="545"/>
      <c r="T100" s="545"/>
      <c r="U100" s="545"/>
      <c r="V100" s="545"/>
      <c r="W100" s="545"/>
      <c r="X100" s="545"/>
      <c r="Y100" s="545"/>
      <c r="Z100" s="545"/>
    </row>
    <row r="101" spans="1:26" s="514" customFormat="1">
      <c r="A101" s="227">
        <v>7891721021190</v>
      </c>
      <c r="B101" s="583">
        <v>1008903230039</v>
      </c>
      <c r="C101" s="93" t="s">
        <v>545</v>
      </c>
      <c r="D101" s="590" t="s">
        <v>699</v>
      </c>
      <c r="E101" s="544">
        <f>G101</f>
        <v>8.2760400000000018</v>
      </c>
      <c r="F101" s="544">
        <f t="shared" ref="F101:F102" si="39">H101</f>
        <v>11.44</v>
      </c>
      <c r="G101" s="663">
        <v>8.2760400000000018</v>
      </c>
      <c r="H101" s="659">
        <f>ROUND(G101/0.723358,2)</f>
        <v>11.44</v>
      </c>
      <c r="I101" s="544">
        <f>ROUND(G101*0.993939,2)</f>
        <v>8.23</v>
      </c>
      <c r="J101" s="544">
        <f>ROUND(I101/0.723358,2)</f>
        <v>11.38</v>
      </c>
      <c r="K101" s="663">
        <f>ROUND(G101*0.987952,2)</f>
        <v>8.18</v>
      </c>
      <c r="L101" s="659">
        <f>ROUND(K101/0.723358,2)</f>
        <v>11.31</v>
      </c>
      <c r="M101" s="544">
        <f>ROUND(G101*0.931818,2)</f>
        <v>7.71</v>
      </c>
      <c r="N101" s="659">
        <f>ROUND(M101/0.723358,2)</f>
        <v>10.66</v>
      </c>
      <c r="O101" s="547"/>
      <c r="P101" s="547"/>
      <c r="Q101" s="547"/>
      <c r="R101" s="547"/>
      <c r="S101" s="547"/>
      <c r="T101" s="547"/>
      <c r="U101" s="547"/>
      <c r="V101" s="547"/>
      <c r="W101" s="547"/>
      <c r="X101" s="547"/>
      <c r="Y101" s="547"/>
      <c r="Z101" s="547"/>
    </row>
    <row r="102" spans="1:26" s="514" customFormat="1">
      <c r="A102" s="227">
        <v>7891721013362</v>
      </c>
      <c r="B102" s="583" t="s">
        <v>22</v>
      </c>
      <c r="C102" s="139" t="s">
        <v>498</v>
      </c>
      <c r="D102" s="601" t="s">
        <v>700</v>
      </c>
      <c r="E102" s="544">
        <f>G102</f>
        <v>24.828120000000002</v>
      </c>
      <c r="F102" s="544">
        <f t="shared" si="39"/>
        <v>34.32</v>
      </c>
      <c r="G102" s="663">
        <v>24.828120000000002</v>
      </c>
      <c r="H102" s="659">
        <f>ROUND(G102/0.723358,2)</f>
        <v>34.32</v>
      </c>
      <c r="I102" s="544">
        <f>ROUND(G102*0.993939,2)</f>
        <v>24.68</v>
      </c>
      <c r="J102" s="544">
        <f>ROUND(I102/0.723358,2)</f>
        <v>34.119999999999997</v>
      </c>
      <c r="K102" s="663">
        <f>ROUND(G102*0.987952,2)</f>
        <v>24.53</v>
      </c>
      <c r="L102" s="659">
        <f>ROUND(K102/0.723358,2)</f>
        <v>33.909999999999997</v>
      </c>
      <c r="M102" s="544">
        <f>ROUND(G102*0.931818,2)</f>
        <v>23.14</v>
      </c>
      <c r="N102" s="659">
        <f>ROUND(M102/0.723358,2)</f>
        <v>31.99</v>
      </c>
      <c r="O102" s="547"/>
      <c r="P102" s="547"/>
      <c r="Q102" s="547"/>
      <c r="R102" s="547"/>
      <c r="S102" s="547"/>
      <c r="T102" s="547"/>
      <c r="U102" s="547"/>
      <c r="V102" s="547"/>
      <c r="W102" s="547"/>
      <c r="X102" s="547"/>
      <c r="Y102" s="547"/>
      <c r="Z102" s="547"/>
    </row>
    <row r="103" spans="1:26" s="150" customFormat="1" ht="15">
      <c r="A103" s="553"/>
      <c r="B103" s="704" t="s">
        <v>440</v>
      </c>
      <c r="C103" s="705"/>
      <c r="D103" s="706"/>
      <c r="E103" s="504"/>
      <c r="F103" s="504"/>
      <c r="G103" s="569"/>
      <c r="H103" s="505"/>
      <c r="I103" s="504"/>
      <c r="J103" s="504"/>
      <c r="K103" s="569"/>
      <c r="L103" s="505"/>
      <c r="M103" s="504"/>
      <c r="N103" s="505"/>
      <c r="O103" s="545"/>
      <c r="P103" s="545"/>
      <c r="Q103" s="545"/>
      <c r="R103" s="545"/>
      <c r="S103" s="545"/>
      <c r="T103" s="545"/>
      <c r="U103" s="545"/>
      <c r="V103" s="545"/>
      <c r="W103" s="545"/>
      <c r="X103" s="545"/>
      <c r="Y103" s="545"/>
      <c r="Z103" s="545"/>
    </row>
    <row r="104" spans="1:26" s="514" customFormat="1">
      <c r="A104" s="561">
        <v>7891721023545</v>
      </c>
      <c r="B104" s="583">
        <v>1008903470072</v>
      </c>
      <c r="C104" s="139" t="s">
        <v>529</v>
      </c>
      <c r="D104" s="601" t="s">
        <v>441</v>
      </c>
      <c r="E104" s="507">
        <f t="shared" ref="E104:E105" si="40">ROUND(G104*1.025,2)</f>
        <v>21.21</v>
      </c>
      <c r="F104" s="507">
        <f>ROUND(E104/0.723358,2)</f>
        <v>29.32</v>
      </c>
      <c r="G104" s="573">
        <v>20.694447999999998</v>
      </c>
      <c r="H104" s="560">
        <f>ROUND(G104/0.723358,2)</f>
        <v>28.61</v>
      </c>
      <c r="I104" s="507">
        <f>ROUND(G104*0.993939,2)</f>
        <v>20.57</v>
      </c>
      <c r="J104" s="507">
        <f>ROUND(I104/0.723358,2)</f>
        <v>28.44</v>
      </c>
      <c r="K104" s="573">
        <v>20.440000000000001</v>
      </c>
      <c r="L104" s="560">
        <f>ROUND(K104/0.723358,2)</f>
        <v>28.26</v>
      </c>
      <c r="M104" s="507">
        <f>ROUND(G104*0.931818,2)</f>
        <v>19.28</v>
      </c>
      <c r="N104" s="560">
        <f>ROUND(M104/0.723358,2)</f>
        <v>26.65</v>
      </c>
      <c r="O104" s="547"/>
      <c r="P104" s="547"/>
      <c r="Q104" s="547"/>
      <c r="R104" s="547"/>
      <c r="S104" s="547"/>
      <c r="T104" s="547"/>
      <c r="U104" s="547"/>
      <c r="V104" s="547"/>
      <c r="W104" s="547"/>
      <c r="X104" s="547"/>
      <c r="Y104" s="547"/>
      <c r="Z104" s="547"/>
    </row>
    <row r="105" spans="1:26" s="514" customFormat="1">
      <c r="A105" s="561">
        <v>7891721023576</v>
      </c>
      <c r="B105" s="583">
        <v>1008903470171</v>
      </c>
      <c r="C105" s="139" t="s">
        <v>557</v>
      </c>
      <c r="D105" s="601" t="s">
        <v>442</v>
      </c>
      <c r="E105" s="507">
        <f t="shared" si="40"/>
        <v>42.17</v>
      </c>
      <c r="F105" s="507">
        <f>ROUND(E105/0.723358,2)</f>
        <v>58.3</v>
      </c>
      <c r="G105" s="573">
        <v>41.141551999999997</v>
      </c>
      <c r="H105" s="560">
        <f>ROUND(G105/0.723358,2)</f>
        <v>56.88</v>
      </c>
      <c r="I105" s="507">
        <f>ROUND(G105*0.993939,2)</f>
        <v>40.89</v>
      </c>
      <c r="J105" s="507">
        <f>ROUND(I105/0.723358,2)</f>
        <v>56.53</v>
      </c>
      <c r="K105" s="573">
        <f>ROUND(G105*0.987952,2)</f>
        <v>40.65</v>
      </c>
      <c r="L105" s="560">
        <f>ROUND(K105/0.723358,2)</f>
        <v>56.2</v>
      </c>
      <c r="M105" s="507">
        <f>ROUND(G105*0.931818,2)</f>
        <v>38.340000000000003</v>
      </c>
      <c r="N105" s="560">
        <f>ROUND(M105/0.723358,2)</f>
        <v>53</v>
      </c>
      <c r="O105" s="547"/>
      <c r="P105" s="547"/>
      <c r="Q105" s="547"/>
      <c r="R105" s="547"/>
      <c r="S105" s="547"/>
      <c r="T105" s="547"/>
      <c r="U105" s="547"/>
      <c r="V105" s="547"/>
      <c r="W105" s="547"/>
      <c r="X105" s="547"/>
      <c r="Y105" s="547"/>
      <c r="Z105" s="547"/>
    </row>
    <row r="106" spans="1:26" s="150" customFormat="1" ht="15">
      <c r="A106" s="553"/>
      <c r="B106" s="704" t="s">
        <v>716</v>
      </c>
      <c r="C106" s="705"/>
      <c r="D106" s="706"/>
      <c r="E106" s="504"/>
      <c r="F106" s="504"/>
      <c r="G106" s="569"/>
      <c r="H106" s="505"/>
      <c r="I106" s="504"/>
      <c r="J106" s="504"/>
      <c r="K106" s="569"/>
      <c r="L106" s="505"/>
      <c r="M106" s="504"/>
      <c r="N106" s="505"/>
      <c r="O106" s="545"/>
      <c r="P106" s="545"/>
      <c r="Q106" s="545"/>
      <c r="R106" s="545"/>
      <c r="S106" s="545"/>
      <c r="T106" s="545"/>
      <c r="U106" s="545"/>
      <c r="V106" s="545"/>
      <c r="W106" s="545"/>
      <c r="X106" s="545"/>
      <c r="Y106" s="545"/>
      <c r="Z106" s="545"/>
    </row>
    <row r="107" spans="1:26" s="514" customFormat="1">
      <c r="A107" s="227">
        <v>7891721028137</v>
      </c>
      <c r="B107" s="583">
        <v>1008903810027</v>
      </c>
      <c r="C107" s="93">
        <v>3216150001</v>
      </c>
      <c r="D107" s="590" t="s">
        <v>717</v>
      </c>
      <c r="E107" s="544">
        <f t="shared" ref="E107:E108" si="41">ROUND(G107*1.025,2)</f>
        <v>56.08</v>
      </c>
      <c r="F107" s="544">
        <f>ROUND(E107/0.723358,2)</f>
        <v>77.53</v>
      </c>
      <c r="G107" s="663">
        <v>54.716148000000004</v>
      </c>
      <c r="H107" s="659">
        <f>ROUND(G107/0.723358,2)</f>
        <v>75.64</v>
      </c>
      <c r="I107" s="544">
        <f>ROUND(G107*0.993939,2)</f>
        <v>54.38</v>
      </c>
      <c r="J107" s="544">
        <f>ROUND(I107/0.723358,2)</f>
        <v>75.180000000000007</v>
      </c>
      <c r="K107" s="663">
        <f>ROUND(G107*0.987952,2)</f>
        <v>54.06</v>
      </c>
      <c r="L107" s="659">
        <f>ROUND(K107/0.723358,2)</f>
        <v>74.73</v>
      </c>
      <c r="M107" s="544">
        <f>ROUND(G107*0.931818,2)</f>
        <v>50.99</v>
      </c>
      <c r="N107" s="659">
        <f>ROUND(M107/0.723358,2)</f>
        <v>70.489999999999995</v>
      </c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</row>
    <row r="108" spans="1:26" s="514" customFormat="1">
      <c r="A108" s="227">
        <v>7891721028144</v>
      </c>
      <c r="B108" s="583">
        <v>1008903810043</v>
      </c>
      <c r="C108" s="139">
        <v>3216170001</v>
      </c>
      <c r="D108" s="601" t="s">
        <v>718</v>
      </c>
      <c r="E108" s="544">
        <f t="shared" si="41"/>
        <v>86.01</v>
      </c>
      <c r="F108" s="544">
        <f>ROUND(E108/0.723358,2)</f>
        <v>118.9</v>
      </c>
      <c r="G108" s="663">
        <v>83.912760000000006</v>
      </c>
      <c r="H108" s="659">
        <f>ROUND(G108/0.723358,2)</f>
        <v>116</v>
      </c>
      <c r="I108" s="544">
        <f>ROUND(G108*0.993939,2)</f>
        <v>83.4</v>
      </c>
      <c r="J108" s="544">
        <f>ROUND(I108/0.723358,2)</f>
        <v>115.3</v>
      </c>
      <c r="K108" s="663">
        <f>ROUND(G108*0.987952,2)</f>
        <v>82.9</v>
      </c>
      <c r="L108" s="659">
        <f>ROUND(K108/0.723358,2)</f>
        <v>114.6</v>
      </c>
      <c r="M108" s="544">
        <f>ROUND(G108*0.931818,2)</f>
        <v>78.19</v>
      </c>
      <c r="N108" s="659">
        <f>ROUND(M108/0.723358,2)</f>
        <v>108.09</v>
      </c>
      <c r="O108" s="547"/>
      <c r="P108" s="547"/>
      <c r="Q108" s="547"/>
      <c r="R108" s="547"/>
      <c r="S108" s="547"/>
      <c r="T108" s="547"/>
      <c r="U108" s="547"/>
      <c r="V108" s="547"/>
      <c r="W108" s="547"/>
      <c r="X108" s="547"/>
      <c r="Y108" s="547"/>
      <c r="Z108" s="547"/>
    </row>
    <row r="109" spans="1:26" s="514" customFormat="1" ht="15">
      <c r="A109" s="553"/>
      <c r="B109" s="585" t="s">
        <v>357</v>
      </c>
      <c r="C109" s="523"/>
      <c r="D109" s="593"/>
      <c r="E109" s="504"/>
      <c r="F109" s="504"/>
      <c r="G109" s="569"/>
      <c r="H109" s="505"/>
      <c r="I109" s="504"/>
      <c r="J109" s="504"/>
      <c r="K109" s="569"/>
      <c r="L109" s="505"/>
      <c r="M109" s="504"/>
      <c r="N109" s="505"/>
      <c r="O109" s="547"/>
      <c r="P109" s="547"/>
      <c r="Q109" s="547"/>
      <c r="R109" s="547"/>
      <c r="S109" s="547"/>
      <c r="T109" s="547"/>
      <c r="U109" s="547"/>
      <c r="V109" s="547"/>
      <c r="W109" s="547"/>
      <c r="X109" s="547"/>
      <c r="Y109" s="547"/>
      <c r="Z109" s="547"/>
    </row>
    <row r="110" spans="1:26" s="514" customFormat="1">
      <c r="A110" s="554">
        <v>7891721000737</v>
      </c>
      <c r="B110" s="583" t="s">
        <v>62</v>
      </c>
      <c r="C110" s="93" t="s">
        <v>527</v>
      </c>
      <c r="D110" s="640" t="s">
        <v>669</v>
      </c>
      <c r="E110" s="544">
        <f>ROUND(G110*1.025,2)</f>
        <v>39.49</v>
      </c>
      <c r="F110" s="544">
        <f>ROUND(E110/0.723358,2)</f>
        <v>54.59</v>
      </c>
      <c r="G110" s="663">
        <v>38.530728000000003</v>
      </c>
      <c r="H110" s="659">
        <f>ROUND(G110/0.723358,2)</f>
        <v>53.27</v>
      </c>
      <c r="I110" s="544">
        <f>ROUND(G110*0.993939,2)</f>
        <v>38.299999999999997</v>
      </c>
      <c r="J110" s="544">
        <f>ROUND(I110/0.723358,2)</f>
        <v>52.95</v>
      </c>
      <c r="K110" s="663">
        <f>ROUND(G110*0.987952,2)</f>
        <v>38.07</v>
      </c>
      <c r="L110" s="659">
        <f>ROUND(K110/0.723358,2)</f>
        <v>52.63</v>
      </c>
      <c r="M110" s="544">
        <f>ROUND(G110*0.931818,2)</f>
        <v>35.9</v>
      </c>
      <c r="N110" s="659">
        <f>ROUND(M110/0.723358,2)</f>
        <v>49.63</v>
      </c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47"/>
    </row>
    <row r="111" spans="1:26" s="514" customFormat="1" ht="15">
      <c r="A111" s="553"/>
      <c r="B111" s="704" t="s">
        <v>316</v>
      </c>
      <c r="C111" s="705"/>
      <c r="D111" s="706"/>
      <c r="E111" s="504"/>
      <c r="F111" s="504"/>
      <c r="G111" s="569"/>
      <c r="H111" s="505"/>
      <c r="I111" s="504"/>
      <c r="J111" s="504"/>
      <c r="K111" s="569"/>
      <c r="L111" s="505"/>
      <c r="M111" s="504"/>
      <c r="N111" s="505"/>
      <c r="O111" s="547"/>
      <c r="P111" s="547"/>
      <c r="Q111" s="547"/>
      <c r="R111" s="547"/>
      <c r="S111" s="547"/>
      <c r="T111" s="547"/>
      <c r="U111" s="547"/>
      <c r="V111" s="547"/>
      <c r="W111" s="547"/>
      <c r="X111" s="547"/>
      <c r="Y111" s="547"/>
      <c r="Z111" s="547"/>
    </row>
    <row r="112" spans="1:26" s="514" customFormat="1">
      <c r="A112" s="561">
        <v>7891721001932</v>
      </c>
      <c r="B112" s="583">
        <v>1008903870011</v>
      </c>
      <c r="C112" s="139" t="s">
        <v>546</v>
      </c>
      <c r="D112" s="601" t="s">
        <v>626</v>
      </c>
      <c r="E112" s="507">
        <f>G112</f>
        <v>9.7426800000000018</v>
      </c>
      <c r="F112" s="507">
        <f t="shared" ref="F112:F114" si="42">H112</f>
        <v>13.47</v>
      </c>
      <c r="G112" s="573">
        <v>9.7426800000000018</v>
      </c>
      <c r="H112" s="560">
        <f>ROUND(G112/0.723358,2)</f>
        <v>13.47</v>
      </c>
      <c r="I112" s="507">
        <f>ROUND(G112*0.993939,2)</f>
        <v>9.68</v>
      </c>
      <c r="J112" s="507">
        <f>ROUND(I112/0.723358,2)</f>
        <v>13.38</v>
      </c>
      <c r="K112" s="573">
        <v>9.6199999999999992</v>
      </c>
      <c r="L112" s="560">
        <f>ROUND(K112/0.723358,2)</f>
        <v>13.3</v>
      </c>
      <c r="M112" s="507">
        <f>ROUND(G112*0.931818,2)</f>
        <v>9.08</v>
      </c>
      <c r="N112" s="560">
        <f>ROUND(M112/0.723358,2)</f>
        <v>12.55</v>
      </c>
      <c r="O112" s="547"/>
      <c r="P112" s="547"/>
      <c r="Q112" s="547"/>
      <c r="R112" s="547"/>
      <c r="S112" s="547"/>
      <c r="T112" s="547"/>
      <c r="U112" s="547"/>
      <c r="V112" s="547"/>
      <c r="W112" s="547"/>
      <c r="X112" s="547"/>
      <c r="Y112" s="547"/>
      <c r="Z112" s="547"/>
    </row>
    <row r="113" spans="1:26" s="514" customFormat="1">
      <c r="A113" s="561">
        <v>7891721012969</v>
      </c>
      <c r="B113" s="583">
        <v>1008903870089</v>
      </c>
      <c r="C113" s="139" t="s">
        <v>401</v>
      </c>
      <c r="D113" s="601" t="s">
        <v>627</v>
      </c>
      <c r="E113" s="507">
        <f>G113</f>
        <v>14.603544000000001</v>
      </c>
      <c r="F113" s="507">
        <f t="shared" si="42"/>
        <v>20.190000000000001</v>
      </c>
      <c r="G113" s="573">
        <v>14.603544000000001</v>
      </c>
      <c r="H113" s="560">
        <f>ROUND(G113/0.723358,2)</f>
        <v>20.190000000000001</v>
      </c>
      <c r="I113" s="507">
        <v>14.51</v>
      </c>
      <c r="J113" s="507">
        <f>ROUND(I113/0.723358,2)</f>
        <v>20.059999999999999</v>
      </c>
      <c r="K113" s="573">
        <f>ROUND(G113*0.987952,2)</f>
        <v>14.43</v>
      </c>
      <c r="L113" s="560">
        <f>ROUND(K113/0.723358,2)</f>
        <v>19.95</v>
      </c>
      <c r="M113" s="507">
        <f>ROUND(G113*0.931818,2)</f>
        <v>13.61</v>
      </c>
      <c r="N113" s="560">
        <f>ROUND(M113/0.723358,2)</f>
        <v>18.82</v>
      </c>
      <c r="O113" s="547"/>
      <c r="P113" s="547"/>
      <c r="Q113" s="547"/>
      <c r="R113" s="547"/>
      <c r="S113" s="547"/>
      <c r="T113" s="547"/>
      <c r="U113" s="547"/>
      <c r="V113" s="547"/>
      <c r="W113" s="547"/>
      <c r="X113" s="547"/>
      <c r="Y113" s="547"/>
      <c r="Z113" s="547"/>
    </row>
    <row r="114" spans="1:26" s="514" customFormat="1">
      <c r="A114" s="561">
        <v>7891721012976</v>
      </c>
      <c r="B114" s="583">
        <v>1008903870070</v>
      </c>
      <c r="C114" s="139" t="s">
        <v>402</v>
      </c>
      <c r="D114" s="601" t="s">
        <v>628</v>
      </c>
      <c r="E114" s="507">
        <f>G114</f>
        <v>28.871856000000001</v>
      </c>
      <c r="F114" s="507">
        <f t="shared" si="42"/>
        <v>39.909999999999997</v>
      </c>
      <c r="G114" s="573">
        <v>28.871856000000001</v>
      </c>
      <c r="H114" s="560">
        <f>ROUND(G114/0.723358,2)</f>
        <v>39.909999999999997</v>
      </c>
      <c r="I114" s="507">
        <f>ROUND(G114*0.993939,2)</f>
        <v>28.7</v>
      </c>
      <c r="J114" s="507">
        <f>ROUND(I114/0.723358,2)</f>
        <v>39.68</v>
      </c>
      <c r="K114" s="573">
        <f>ROUND(G114*0.987952,2)</f>
        <v>28.52</v>
      </c>
      <c r="L114" s="560">
        <f>ROUND(K114/0.723358,2)</f>
        <v>39.43</v>
      </c>
      <c r="M114" s="507">
        <f>ROUND(G114*0.931818,2)</f>
        <v>26.9</v>
      </c>
      <c r="N114" s="560">
        <f>ROUND(M114/0.723358,2)</f>
        <v>37.19</v>
      </c>
      <c r="O114" s="547"/>
      <c r="P114" s="547"/>
      <c r="Q114" s="547"/>
      <c r="R114" s="547"/>
      <c r="S114" s="547"/>
      <c r="T114" s="547"/>
      <c r="U114" s="547"/>
      <c r="V114" s="547"/>
      <c r="W114" s="547"/>
      <c r="X114" s="547"/>
      <c r="Y114" s="547"/>
      <c r="Z114" s="547"/>
    </row>
    <row r="115" spans="1:26" s="514" customFormat="1" ht="15">
      <c r="A115" s="553"/>
      <c r="B115" s="704" t="s">
        <v>412</v>
      </c>
      <c r="C115" s="705"/>
      <c r="D115" s="706"/>
      <c r="E115" s="504"/>
      <c r="F115" s="504"/>
      <c r="G115" s="569"/>
      <c r="H115" s="505"/>
      <c r="I115" s="504"/>
      <c r="J115" s="504"/>
      <c r="K115" s="569"/>
      <c r="L115" s="505"/>
      <c r="M115" s="504"/>
      <c r="N115" s="505"/>
      <c r="O115" s="547"/>
      <c r="P115" s="547"/>
      <c r="Q115" s="547"/>
      <c r="R115" s="547"/>
      <c r="S115" s="547"/>
      <c r="T115" s="547"/>
      <c r="U115" s="547"/>
      <c r="V115" s="547"/>
      <c r="W115" s="547"/>
      <c r="X115" s="547"/>
      <c r="Y115" s="547"/>
      <c r="Z115" s="547"/>
    </row>
    <row r="116" spans="1:26" s="514" customFormat="1">
      <c r="A116" s="554">
        <v>7891721017261</v>
      </c>
      <c r="B116" s="583">
        <v>1008903300029</v>
      </c>
      <c r="C116" s="93" t="s">
        <v>413</v>
      </c>
      <c r="D116" s="640" t="s">
        <v>414</v>
      </c>
      <c r="E116" s="544">
        <f>ROUND(G116*1.025,2)</f>
        <v>114.23</v>
      </c>
      <c r="F116" s="544">
        <f>ROUND(E116/0.723358,2)</f>
        <v>157.91999999999999</v>
      </c>
      <c r="G116" s="663">
        <v>111.44532000000001</v>
      </c>
      <c r="H116" s="659">
        <f>ROUND(G116/0.723358,2)</f>
        <v>154.07</v>
      </c>
      <c r="I116" s="544">
        <f>ROUND(G116*0.993939,2)</f>
        <v>110.77</v>
      </c>
      <c r="J116" s="544">
        <f>ROUND(I116/0.723358,2)</f>
        <v>153.13</v>
      </c>
      <c r="K116" s="663">
        <f>ROUND(G116*0.987952,2)</f>
        <v>110.1</v>
      </c>
      <c r="L116" s="659">
        <f>ROUND(K116/0.723358,2)</f>
        <v>152.21</v>
      </c>
      <c r="M116" s="544">
        <f>ROUND(G116*0.931818,2)</f>
        <v>103.85</v>
      </c>
      <c r="N116" s="659">
        <f>ROUND(M116/0.723358,2)</f>
        <v>143.57</v>
      </c>
      <c r="O116" s="547"/>
      <c r="P116" s="547"/>
      <c r="Q116" s="547"/>
      <c r="R116" s="547"/>
      <c r="S116" s="547"/>
      <c r="T116" s="547"/>
      <c r="U116" s="547"/>
      <c r="V116" s="547"/>
      <c r="W116" s="547"/>
      <c r="X116" s="547"/>
      <c r="Y116" s="547"/>
      <c r="Z116" s="547"/>
    </row>
    <row r="117" spans="1:26" s="514" customFormat="1">
      <c r="A117" s="556"/>
      <c r="B117" s="584"/>
      <c r="C117" s="519"/>
      <c r="D117" s="592"/>
      <c r="E117" s="520"/>
      <c r="F117" s="521"/>
      <c r="G117" s="571"/>
      <c r="H117" s="557"/>
      <c r="I117" s="522"/>
      <c r="J117" s="521"/>
      <c r="K117" s="576"/>
      <c r="L117" s="557"/>
      <c r="M117" s="522"/>
      <c r="N117" s="557"/>
      <c r="O117" s="547"/>
      <c r="P117" s="547"/>
      <c r="Q117" s="547"/>
      <c r="R117" s="547"/>
      <c r="S117" s="547"/>
      <c r="T117" s="547"/>
      <c r="U117" s="547"/>
      <c r="V117" s="547"/>
      <c r="W117" s="547"/>
      <c r="X117" s="547"/>
      <c r="Y117" s="547"/>
      <c r="Z117" s="547"/>
    </row>
    <row r="118" spans="1:26" s="514" customFormat="1" ht="18.75" customHeight="1">
      <c r="A118" s="558" t="s">
        <v>295</v>
      </c>
      <c r="B118" s="707" t="s">
        <v>294</v>
      </c>
      <c r="C118" s="708"/>
      <c r="D118" s="709"/>
      <c r="E118" s="702" t="s">
        <v>741</v>
      </c>
      <c r="F118" s="703"/>
      <c r="G118" s="702" t="s">
        <v>292</v>
      </c>
      <c r="H118" s="703"/>
      <c r="I118" s="702" t="s">
        <v>740</v>
      </c>
      <c r="J118" s="703"/>
      <c r="K118" s="702" t="s">
        <v>293</v>
      </c>
      <c r="L118" s="703"/>
      <c r="M118" s="702" t="s">
        <v>322</v>
      </c>
      <c r="N118" s="703"/>
      <c r="O118" s="547"/>
      <c r="P118" s="547"/>
      <c r="Q118" s="547"/>
      <c r="R118" s="547"/>
      <c r="S118" s="547"/>
      <c r="T118" s="547"/>
      <c r="U118" s="547"/>
      <c r="V118" s="547"/>
      <c r="W118" s="547"/>
      <c r="X118" s="547"/>
      <c r="Y118" s="547"/>
      <c r="Z118" s="547"/>
    </row>
    <row r="119" spans="1:26" s="514" customFormat="1" ht="12.75" customHeight="1">
      <c r="A119" s="558" t="s">
        <v>296</v>
      </c>
      <c r="B119" s="580" t="s">
        <v>13</v>
      </c>
      <c r="C119" s="511" t="s">
        <v>83</v>
      </c>
      <c r="D119" s="588"/>
      <c r="E119" s="260" t="s">
        <v>81</v>
      </c>
      <c r="F119" s="260" t="s">
        <v>82</v>
      </c>
      <c r="G119" s="572" t="s">
        <v>81</v>
      </c>
      <c r="H119" s="256" t="s">
        <v>82</v>
      </c>
      <c r="I119" s="260" t="s">
        <v>81</v>
      </c>
      <c r="J119" s="260" t="s">
        <v>82</v>
      </c>
      <c r="K119" s="572" t="s">
        <v>81</v>
      </c>
      <c r="L119" s="256" t="s">
        <v>82</v>
      </c>
      <c r="M119" s="260" t="s">
        <v>81</v>
      </c>
      <c r="N119" s="256" t="s">
        <v>82</v>
      </c>
      <c r="O119" s="547"/>
      <c r="P119" s="547"/>
      <c r="Q119" s="547"/>
      <c r="R119" s="547"/>
      <c r="S119" s="547"/>
      <c r="T119" s="547"/>
      <c r="U119" s="547"/>
      <c r="V119" s="547"/>
      <c r="W119" s="547"/>
      <c r="X119" s="547"/>
      <c r="Y119" s="547"/>
      <c r="Z119" s="547"/>
    </row>
    <row r="120" spans="1:26" s="514" customFormat="1" ht="13.5" customHeight="1">
      <c r="A120" s="559"/>
      <c r="B120" s="581" t="s">
        <v>14</v>
      </c>
      <c r="C120" s="511" t="s">
        <v>379</v>
      </c>
      <c r="D120" s="588" t="s">
        <v>84</v>
      </c>
      <c r="E120" s="260" t="s">
        <v>85</v>
      </c>
      <c r="F120" s="260" t="s">
        <v>297</v>
      </c>
      <c r="G120" s="572" t="s">
        <v>85</v>
      </c>
      <c r="H120" s="256" t="s">
        <v>297</v>
      </c>
      <c r="I120" s="260" t="s">
        <v>85</v>
      </c>
      <c r="J120" s="260" t="s">
        <v>297</v>
      </c>
      <c r="K120" s="572" t="s">
        <v>85</v>
      </c>
      <c r="L120" s="256" t="s">
        <v>297</v>
      </c>
      <c r="M120" s="260" t="s">
        <v>85</v>
      </c>
      <c r="N120" s="256" t="s">
        <v>297</v>
      </c>
      <c r="O120" s="547"/>
      <c r="P120" s="547"/>
      <c r="Q120" s="547"/>
      <c r="R120" s="547"/>
      <c r="S120" s="547"/>
      <c r="T120" s="547"/>
      <c r="U120" s="547"/>
      <c r="V120" s="547"/>
      <c r="W120" s="547"/>
      <c r="X120" s="547"/>
      <c r="Y120" s="547"/>
      <c r="Z120" s="547"/>
    </row>
    <row r="121" spans="1:26" s="514" customFormat="1" ht="15">
      <c r="A121" s="553"/>
      <c r="B121" s="585" t="s">
        <v>568</v>
      </c>
      <c r="C121" s="523"/>
      <c r="D121" s="593"/>
      <c r="E121" s="504"/>
      <c r="F121" s="504"/>
      <c r="G121" s="569"/>
      <c r="H121" s="505"/>
      <c r="I121" s="504"/>
      <c r="J121" s="504"/>
      <c r="K121" s="569"/>
      <c r="L121" s="505"/>
      <c r="M121" s="504"/>
      <c r="N121" s="505"/>
      <c r="O121" s="547"/>
      <c r="P121" s="547"/>
      <c r="Q121" s="547"/>
      <c r="R121" s="547"/>
      <c r="S121" s="547"/>
      <c r="T121" s="547"/>
      <c r="U121" s="547"/>
      <c r="V121" s="547"/>
      <c r="W121" s="547"/>
      <c r="X121" s="547"/>
      <c r="Y121" s="547"/>
      <c r="Z121" s="547"/>
    </row>
    <row r="122" spans="1:26" s="514" customFormat="1">
      <c r="A122" s="660">
        <v>7891721024641</v>
      </c>
      <c r="B122" s="583" t="s">
        <v>56</v>
      </c>
      <c r="C122" s="526" t="s">
        <v>567</v>
      </c>
      <c r="D122" s="590" t="s">
        <v>710</v>
      </c>
      <c r="E122" s="518">
        <f>ROUND(G122*1.028952,2)</f>
        <v>39.33</v>
      </c>
      <c r="F122" s="518">
        <f>ROUND(E122/0.751296,2)</f>
        <v>52.35</v>
      </c>
      <c r="G122" s="570">
        <v>38.222856</v>
      </c>
      <c r="H122" s="555">
        <f>ROUND(G122/0.750577,2)</f>
        <v>50.92</v>
      </c>
      <c r="I122" s="518">
        <f>ROUND(G122*0.993015,2)</f>
        <v>37.96</v>
      </c>
      <c r="J122" s="518">
        <f>ROUND(I122/0.750402,2)</f>
        <v>50.59</v>
      </c>
      <c r="K122" s="570">
        <f>ROUND(G122*0.986128,2)</f>
        <v>37.69</v>
      </c>
      <c r="L122" s="555">
        <f>ROUND(K122/0.75023,2)</f>
        <v>50.24</v>
      </c>
      <c r="M122" s="518">
        <f>ROUND(G122*0.922175,2)</f>
        <v>35.25</v>
      </c>
      <c r="N122" s="555">
        <f>ROUND(M122/0.748624,2)</f>
        <v>47.09</v>
      </c>
      <c r="O122" s="547"/>
      <c r="P122" s="547"/>
      <c r="Q122" s="547"/>
      <c r="R122" s="547"/>
      <c r="S122" s="547"/>
      <c r="T122" s="547"/>
      <c r="U122" s="547"/>
      <c r="V122" s="547"/>
      <c r="W122" s="547"/>
      <c r="X122" s="547"/>
      <c r="Y122" s="547"/>
      <c r="Z122" s="547"/>
    </row>
    <row r="123" spans="1:26" s="514" customFormat="1">
      <c r="A123" s="556"/>
      <c r="B123" s="584"/>
      <c r="C123" s="519"/>
      <c r="D123" s="592"/>
      <c r="E123" s="520"/>
      <c r="F123" s="521"/>
      <c r="G123" s="571"/>
      <c r="H123" s="557"/>
      <c r="I123" s="522"/>
      <c r="J123" s="521"/>
      <c r="K123" s="576"/>
      <c r="L123" s="557"/>
      <c r="M123" s="522"/>
      <c r="N123" s="557"/>
      <c r="O123" s="547"/>
      <c r="P123" s="547"/>
      <c r="Q123" s="547"/>
      <c r="R123" s="547"/>
      <c r="S123" s="547"/>
      <c r="T123" s="547"/>
      <c r="U123" s="547"/>
      <c r="V123" s="547"/>
      <c r="W123" s="547"/>
      <c r="X123" s="547"/>
      <c r="Y123" s="547"/>
      <c r="Z123" s="547"/>
    </row>
    <row r="124" spans="1:26" s="514" customFormat="1" ht="18.75" customHeight="1">
      <c r="A124" s="558" t="s">
        <v>295</v>
      </c>
      <c r="B124" s="707" t="s">
        <v>378</v>
      </c>
      <c r="C124" s="708"/>
      <c r="D124" s="709"/>
      <c r="E124" s="702" t="s">
        <v>741</v>
      </c>
      <c r="F124" s="703"/>
      <c r="G124" s="702" t="s">
        <v>292</v>
      </c>
      <c r="H124" s="703"/>
      <c r="I124" s="702" t="s">
        <v>740</v>
      </c>
      <c r="J124" s="703"/>
      <c r="K124" s="702" t="s">
        <v>293</v>
      </c>
      <c r="L124" s="703"/>
      <c r="M124" s="702" t="s">
        <v>322</v>
      </c>
      <c r="N124" s="703"/>
      <c r="O124" s="547"/>
      <c r="P124" s="547"/>
      <c r="Q124" s="547"/>
      <c r="R124" s="547"/>
      <c r="S124" s="547"/>
      <c r="T124" s="547"/>
      <c r="U124" s="547"/>
      <c r="V124" s="547"/>
      <c r="W124" s="547"/>
      <c r="X124" s="547"/>
      <c r="Y124" s="547"/>
      <c r="Z124" s="547"/>
    </row>
    <row r="125" spans="1:26" s="514" customFormat="1" ht="12.75" customHeight="1">
      <c r="A125" s="563" t="s">
        <v>296</v>
      </c>
      <c r="B125" s="580" t="s">
        <v>13</v>
      </c>
      <c r="C125" s="511" t="s">
        <v>83</v>
      </c>
      <c r="D125" s="597"/>
      <c r="E125" s="322" t="s">
        <v>81</v>
      </c>
      <c r="F125" s="322" t="s">
        <v>82</v>
      </c>
      <c r="G125" s="574" t="s">
        <v>81</v>
      </c>
      <c r="H125" s="250" t="s">
        <v>82</v>
      </c>
      <c r="I125" s="322" t="s">
        <v>81</v>
      </c>
      <c r="J125" s="322" t="s">
        <v>82</v>
      </c>
      <c r="K125" s="574" t="s">
        <v>81</v>
      </c>
      <c r="L125" s="250" t="s">
        <v>82</v>
      </c>
      <c r="M125" s="322" t="s">
        <v>81</v>
      </c>
      <c r="N125" s="250" t="s">
        <v>82</v>
      </c>
      <c r="O125" s="547"/>
      <c r="P125" s="547"/>
      <c r="Q125" s="547"/>
      <c r="R125" s="547"/>
      <c r="S125" s="547"/>
      <c r="T125" s="547"/>
      <c r="U125" s="547"/>
      <c r="V125" s="547"/>
      <c r="W125" s="547"/>
      <c r="X125" s="547"/>
      <c r="Y125" s="547"/>
      <c r="Z125" s="547"/>
    </row>
    <row r="126" spans="1:26" s="150" customFormat="1" ht="13.5" customHeight="1">
      <c r="A126" s="564"/>
      <c r="B126" s="581" t="s">
        <v>14</v>
      </c>
      <c r="C126" s="511" t="s">
        <v>379</v>
      </c>
      <c r="D126" s="597" t="s">
        <v>84</v>
      </c>
      <c r="E126" s="322" t="s">
        <v>85</v>
      </c>
      <c r="F126" s="322" t="s">
        <v>297</v>
      </c>
      <c r="G126" s="574" t="s">
        <v>85</v>
      </c>
      <c r="H126" s="250" t="s">
        <v>297</v>
      </c>
      <c r="I126" s="322" t="s">
        <v>85</v>
      </c>
      <c r="J126" s="322" t="s">
        <v>297</v>
      </c>
      <c r="K126" s="574" t="s">
        <v>85</v>
      </c>
      <c r="L126" s="250" t="s">
        <v>297</v>
      </c>
      <c r="M126" s="322" t="s">
        <v>85</v>
      </c>
      <c r="N126" s="250" t="s">
        <v>297</v>
      </c>
      <c r="O126" s="545"/>
      <c r="P126" s="545"/>
      <c r="Q126" s="545"/>
      <c r="R126" s="545"/>
      <c r="S126" s="545"/>
      <c r="T126" s="545"/>
      <c r="U126" s="545"/>
      <c r="V126" s="545"/>
      <c r="W126" s="545"/>
      <c r="X126" s="545"/>
      <c r="Y126" s="545"/>
      <c r="Z126" s="545"/>
    </row>
    <row r="127" spans="1:26" s="527" customFormat="1" ht="15">
      <c r="A127" s="553"/>
      <c r="B127" s="585" t="s">
        <v>377</v>
      </c>
      <c r="C127" s="523"/>
      <c r="D127" s="593"/>
      <c r="E127" s="504"/>
      <c r="F127" s="504"/>
      <c r="G127" s="569"/>
      <c r="H127" s="505"/>
      <c r="I127" s="504"/>
      <c r="J127" s="504"/>
      <c r="K127" s="569"/>
      <c r="L127" s="505"/>
      <c r="M127" s="504"/>
      <c r="N127" s="505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</row>
    <row r="128" spans="1:26" s="150" customFormat="1">
      <c r="A128" s="561">
        <v>7891721017186</v>
      </c>
      <c r="B128" s="583">
        <v>80141300375</v>
      </c>
      <c r="C128" s="139" t="s">
        <v>12</v>
      </c>
      <c r="D128" s="601" t="s">
        <v>376</v>
      </c>
      <c r="E128" s="507">
        <f>ROUND(G128*1.028952,2)</f>
        <v>331.57</v>
      </c>
      <c r="F128" s="507">
        <f>ROUND(E128/0.751296,2)</f>
        <v>441.33</v>
      </c>
      <c r="G128" s="573">
        <v>322.24176000000006</v>
      </c>
      <c r="H128" s="560">
        <f>ROUND(G128/0.750577,2)</f>
        <v>429.33</v>
      </c>
      <c r="I128" s="507">
        <f>ROUND(G128*0.993015,2)</f>
        <v>319.99</v>
      </c>
      <c r="J128" s="507">
        <f>ROUND(I128/0.750402,2)</f>
        <v>426.42</v>
      </c>
      <c r="K128" s="573">
        <f>ROUND(G128*0.986128,2)</f>
        <v>317.77</v>
      </c>
      <c r="L128" s="560">
        <f>ROUND(K128/0.75023,2)</f>
        <v>423.56</v>
      </c>
      <c r="M128" s="507">
        <f>ROUND(G128*0.922175,2)</f>
        <v>297.16000000000003</v>
      </c>
      <c r="N128" s="560">
        <f>ROUND(M128/0.748624,2)</f>
        <v>396.94</v>
      </c>
      <c r="O128" s="545"/>
      <c r="P128" s="545"/>
      <c r="Q128" s="545"/>
      <c r="R128" s="545"/>
      <c r="S128" s="545"/>
      <c r="T128" s="545"/>
      <c r="U128" s="545"/>
      <c r="V128" s="545"/>
      <c r="W128" s="545"/>
      <c r="X128" s="545"/>
      <c r="Y128" s="545"/>
      <c r="Z128" s="545"/>
    </row>
    <row r="129" spans="1:28" s="514" customFormat="1" ht="18" customHeight="1">
      <c r="A129" s="558" t="s">
        <v>295</v>
      </c>
      <c r="B129" s="707" t="s">
        <v>732</v>
      </c>
      <c r="C129" s="708"/>
      <c r="D129" s="709"/>
      <c r="E129" s="702" t="s">
        <v>741</v>
      </c>
      <c r="F129" s="703"/>
      <c r="G129" s="702" t="s">
        <v>292</v>
      </c>
      <c r="H129" s="703"/>
      <c r="I129" s="702" t="s">
        <v>740</v>
      </c>
      <c r="J129" s="703"/>
      <c r="K129" s="702" t="s">
        <v>293</v>
      </c>
      <c r="L129" s="703"/>
      <c r="M129" s="702" t="s">
        <v>322</v>
      </c>
      <c r="N129" s="703"/>
      <c r="O129" s="547"/>
      <c r="P129" s="547"/>
      <c r="Q129" s="547"/>
      <c r="R129" s="547"/>
      <c r="S129" s="547"/>
      <c r="T129" s="547"/>
      <c r="U129" s="547"/>
      <c r="V129" s="547"/>
      <c r="W129" s="547"/>
      <c r="X129" s="547"/>
      <c r="Y129" s="547"/>
      <c r="Z129" s="547"/>
    </row>
    <row r="130" spans="1:28" s="514" customFormat="1" ht="12.75" customHeight="1">
      <c r="A130" s="563" t="s">
        <v>296</v>
      </c>
      <c r="B130" s="580" t="s">
        <v>13</v>
      </c>
      <c r="C130" s="511" t="s">
        <v>83</v>
      </c>
      <c r="D130" s="597"/>
      <c r="E130" s="322" t="s">
        <v>81</v>
      </c>
      <c r="F130" s="322" t="s">
        <v>82</v>
      </c>
      <c r="G130" s="574" t="s">
        <v>81</v>
      </c>
      <c r="H130" s="250" t="s">
        <v>82</v>
      </c>
      <c r="I130" s="322" t="s">
        <v>81</v>
      </c>
      <c r="J130" s="322" t="s">
        <v>82</v>
      </c>
      <c r="K130" s="574" t="s">
        <v>81</v>
      </c>
      <c r="L130" s="250" t="s">
        <v>82</v>
      </c>
      <c r="M130" s="322" t="s">
        <v>81</v>
      </c>
      <c r="N130" s="250" t="s">
        <v>82</v>
      </c>
      <c r="O130" s="547"/>
      <c r="P130" s="547"/>
      <c r="Q130" s="547"/>
      <c r="R130" s="547"/>
      <c r="S130" s="547"/>
      <c r="T130" s="547"/>
      <c r="U130" s="547"/>
      <c r="V130" s="547"/>
      <c r="W130" s="547"/>
      <c r="X130" s="547"/>
      <c r="Y130" s="547"/>
      <c r="Z130" s="547"/>
    </row>
    <row r="131" spans="1:28" s="150" customFormat="1" ht="13.5" customHeight="1">
      <c r="A131" s="564"/>
      <c r="B131" s="581" t="s">
        <v>14</v>
      </c>
      <c r="C131" s="511" t="s">
        <v>379</v>
      </c>
      <c r="D131" s="597" t="s">
        <v>84</v>
      </c>
      <c r="E131" s="322" t="s">
        <v>85</v>
      </c>
      <c r="F131" s="322" t="s">
        <v>297</v>
      </c>
      <c r="G131" s="574" t="s">
        <v>85</v>
      </c>
      <c r="H131" s="250" t="s">
        <v>297</v>
      </c>
      <c r="I131" s="322" t="s">
        <v>85</v>
      </c>
      <c r="J131" s="322" t="s">
        <v>297</v>
      </c>
      <c r="K131" s="574" t="s">
        <v>85</v>
      </c>
      <c r="L131" s="250" t="s">
        <v>297</v>
      </c>
      <c r="M131" s="322" t="s">
        <v>85</v>
      </c>
      <c r="N131" s="250" t="s">
        <v>297</v>
      </c>
      <c r="O131" s="545"/>
      <c r="P131" s="545"/>
      <c r="Q131" s="545"/>
      <c r="R131" s="545"/>
      <c r="S131" s="545"/>
      <c r="T131" s="545"/>
      <c r="U131" s="545"/>
      <c r="V131" s="545"/>
      <c r="W131" s="545"/>
      <c r="X131" s="545"/>
      <c r="Y131" s="545"/>
      <c r="Z131" s="545"/>
    </row>
    <row r="132" spans="1:28" s="527" customFormat="1" ht="15">
      <c r="A132" s="553"/>
      <c r="B132" s="704" t="s">
        <v>727</v>
      </c>
      <c r="C132" s="705"/>
      <c r="D132" s="706"/>
      <c r="E132" s="504"/>
      <c r="F132" s="504"/>
      <c r="G132" s="569"/>
      <c r="H132" s="505"/>
      <c r="I132" s="504"/>
      <c r="J132" s="504"/>
      <c r="K132" s="569"/>
      <c r="L132" s="505"/>
      <c r="M132" s="504"/>
      <c r="N132" s="505"/>
      <c r="O132" s="549"/>
      <c r="P132" s="549"/>
      <c r="Q132" s="549"/>
      <c r="R132" s="549"/>
      <c r="S132" s="549"/>
      <c r="T132" s="549"/>
      <c r="U132" s="549"/>
      <c r="V132" s="549"/>
      <c r="W132" s="549"/>
      <c r="X132" s="549"/>
      <c r="Y132" s="549"/>
      <c r="Z132" s="549"/>
    </row>
    <row r="133" spans="1:28" s="150" customFormat="1" ht="13.5" thickBot="1">
      <c r="A133" s="566">
        <v>7898955455104</v>
      </c>
      <c r="B133" s="587">
        <v>80288610005</v>
      </c>
      <c r="C133" s="381">
        <v>3261300001</v>
      </c>
      <c r="D133" s="657" t="s">
        <v>731</v>
      </c>
      <c r="E133" s="509">
        <v>68.094000000000008</v>
      </c>
      <c r="F133" s="509" t="s">
        <v>563</v>
      </c>
      <c r="G133" s="575">
        <v>68.094000000000008</v>
      </c>
      <c r="H133" s="658" t="s">
        <v>563</v>
      </c>
      <c r="I133" s="509">
        <v>68.094000000000008</v>
      </c>
      <c r="J133" s="509" t="s">
        <v>563</v>
      </c>
      <c r="K133" s="575">
        <v>68.094000000000008</v>
      </c>
      <c r="L133" s="658" t="s">
        <v>563</v>
      </c>
      <c r="M133" s="509">
        <v>68.094000000000008</v>
      </c>
      <c r="N133" s="658" t="s">
        <v>563</v>
      </c>
      <c r="O133" s="545"/>
      <c r="P133" s="545"/>
      <c r="Q133" s="545"/>
      <c r="R133" s="545"/>
      <c r="S133" s="545"/>
      <c r="T133" s="545"/>
      <c r="U133" s="545"/>
      <c r="V133" s="545"/>
      <c r="W133" s="545"/>
      <c r="X133" s="545"/>
      <c r="Y133" s="545"/>
      <c r="Z133" s="545"/>
    </row>
    <row r="134" spans="1:28" s="2" customFormat="1">
      <c r="A134" s="661"/>
    </row>
    <row r="135" spans="1:28" s="89" customFormat="1">
      <c r="A135" s="234"/>
      <c r="B135" s="372" t="s">
        <v>743</v>
      </c>
      <c r="C135" s="136"/>
      <c r="D135" s="9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</row>
    <row r="136" spans="1:28" s="89" customFormat="1">
      <c r="A136" s="234"/>
      <c r="B136" s="372" t="s">
        <v>744</v>
      </c>
      <c r="C136" s="136"/>
      <c r="D136" s="9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</row>
    <row r="137" spans="1:28" s="89" customFormat="1">
      <c r="A137" s="234"/>
      <c r="B137" s="372" t="s">
        <v>778</v>
      </c>
      <c r="C137" s="136"/>
      <c r="D137" s="9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</row>
    <row r="138" spans="1:28" s="89" customFormat="1">
      <c r="A138" s="234"/>
      <c r="B138" s="136"/>
      <c r="C138" s="136"/>
      <c r="D138" s="9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374"/>
      <c r="P138" s="374"/>
      <c r="Q138" s="374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</row>
    <row r="139" spans="1:28" s="89" customFormat="1">
      <c r="A139" s="228"/>
      <c r="B139" s="337" t="s">
        <v>711</v>
      </c>
      <c r="C139" s="99"/>
      <c r="E139" s="127"/>
      <c r="F139" s="127"/>
      <c r="G139" s="127"/>
      <c r="H139" s="127"/>
      <c r="I139" s="127"/>
      <c r="J139" s="127"/>
      <c r="K139" s="127"/>
      <c r="L139" s="127"/>
      <c r="M139" s="127"/>
      <c r="N139" s="96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</row>
    <row r="140" spans="1:28" s="89" customFormat="1">
      <c r="A140" s="228"/>
      <c r="B140" s="99"/>
      <c r="C140" s="99"/>
      <c r="E140" s="144"/>
      <c r="F140" s="144"/>
      <c r="G140" s="143"/>
      <c r="H140" s="145"/>
      <c r="I140" s="146"/>
      <c r="J140" s="96"/>
      <c r="K140" s="146"/>
      <c r="L140" s="96"/>
      <c r="M140" s="146"/>
      <c r="N140" s="96"/>
      <c r="O140" s="374"/>
      <c r="P140" s="374"/>
      <c r="Q140" s="374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</row>
    <row r="141" spans="1:28" s="89" customFormat="1">
      <c r="A141" s="228"/>
      <c r="B141" s="225" t="s">
        <v>642</v>
      </c>
      <c r="C141" s="99"/>
      <c r="E141" s="98"/>
      <c r="F141" s="98"/>
      <c r="H141" s="95"/>
      <c r="J141" s="96"/>
      <c r="L141" s="96"/>
      <c r="N141" s="96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</row>
    <row r="142" spans="1:28" s="89" customFormat="1">
      <c r="A142" s="228"/>
      <c r="B142" s="138" t="s">
        <v>739</v>
      </c>
      <c r="C142" s="90"/>
      <c r="E142" s="98"/>
      <c r="F142" s="98"/>
      <c r="H142" s="95"/>
      <c r="J142" s="96"/>
      <c r="L142" s="96"/>
      <c r="N142" s="96"/>
      <c r="O142" s="374"/>
      <c r="P142" s="374"/>
      <c r="Q142" s="374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</row>
    <row r="143" spans="1:28" s="89" customFormat="1">
      <c r="A143" s="228"/>
      <c r="B143" s="138"/>
      <c r="C143" s="103"/>
      <c r="D143" s="102"/>
      <c r="E143" s="98"/>
      <c r="F143" s="98"/>
      <c r="H143" s="95"/>
      <c r="J143" s="96"/>
      <c r="L143" s="96"/>
      <c r="N143" s="96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</row>
    <row r="144" spans="1:28" s="89" customFormat="1">
      <c r="A144" s="228"/>
      <c r="B144" s="138" t="s">
        <v>707</v>
      </c>
      <c r="C144" s="336"/>
      <c r="D144" s="336"/>
      <c r="E144"/>
      <c r="F144" s="138"/>
      <c r="H144" s="95"/>
      <c r="J144" s="96"/>
      <c r="L144" s="96"/>
      <c r="N144" s="96"/>
      <c r="O144" s="374"/>
      <c r="P144" s="374"/>
      <c r="Q144" s="374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</row>
    <row r="145" spans="1:28" s="89" customFormat="1">
      <c r="A145" s="228"/>
      <c r="B145" s="138" t="s">
        <v>708</v>
      </c>
      <c r="C145" s="336"/>
      <c r="D145" s="336"/>
      <c r="E145"/>
      <c r="F145" s="138"/>
      <c r="H145" s="95"/>
      <c r="J145" s="96"/>
      <c r="L145" s="96"/>
      <c r="N145" s="96"/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</row>
    <row r="146" spans="1:28" s="89" customFormat="1">
      <c r="A146" s="228"/>
      <c r="B146" s="138" t="s">
        <v>742</v>
      </c>
      <c r="C146" s="336"/>
      <c r="D146" s="336"/>
      <c r="E146"/>
      <c r="F146" s="138"/>
      <c r="H146" s="95"/>
      <c r="J146" s="96"/>
      <c r="L146" s="96"/>
      <c r="N146" s="96"/>
      <c r="O146" s="374"/>
      <c r="P146" s="374"/>
      <c r="Q146" s="374"/>
      <c r="R146" s="374"/>
      <c r="S146" s="374"/>
      <c r="T146" s="374"/>
      <c r="U146" s="374"/>
      <c r="V146" s="374"/>
      <c r="W146" s="374"/>
      <c r="X146" s="374"/>
      <c r="Y146" s="374"/>
      <c r="Z146" s="374"/>
      <c r="AA146" s="374"/>
      <c r="AB146" s="374"/>
    </row>
    <row r="147" spans="1:28" s="89" customFormat="1">
      <c r="A147" s="228"/>
      <c r="B147" s="138" t="s">
        <v>709</v>
      </c>
      <c r="C147" s="336"/>
      <c r="D147" s="336"/>
      <c r="E147"/>
      <c r="F147" s="138"/>
      <c r="H147" s="95"/>
      <c r="J147" s="96"/>
      <c r="L147" s="96"/>
      <c r="N147" s="96"/>
      <c r="O147" s="374"/>
      <c r="P147" s="374"/>
      <c r="Q147" s="374"/>
      <c r="R147" s="374"/>
      <c r="S147" s="374"/>
      <c r="T147" s="374"/>
      <c r="U147" s="374"/>
      <c r="V147" s="374"/>
      <c r="W147" s="374"/>
      <c r="X147" s="374"/>
      <c r="Y147" s="374"/>
      <c r="Z147" s="374"/>
      <c r="AA147" s="374"/>
      <c r="AB147" s="374"/>
    </row>
    <row r="148" spans="1:28" s="89" customFormat="1">
      <c r="A148" s="228"/>
      <c r="B148" s="138"/>
      <c r="C148" s="336"/>
      <c r="D148" s="336"/>
      <c r="E148"/>
      <c r="F148" s="138"/>
      <c r="H148" s="95"/>
      <c r="J148" s="96"/>
      <c r="L148" s="96"/>
      <c r="N148" s="96"/>
      <c r="O148" s="374"/>
      <c r="P148" s="374"/>
      <c r="Q148" s="374"/>
      <c r="R148" s="374"/>
      <c r="S148" s="374"/>
      <c r="T148" s="374"/>
      <c r="U148" s="374"/>
      <c r="V148" s="374"/>
      <c r="W148" s="374"/>
      <c r="X148" s="374"/>
      <c r="Y148" s="374"/>
      <c r="Z148" s="374"/>
      <c r="AA148" s="374"/>
      <c r="AB148" s="374"/>
    </row>
    <row r="149" spans="1:28" s="89" customFormat="1">
      <c r="A149" s="228"/>
      <c r="B149" s="225" t="s">
        <v>581</v>
      </c>
      <c r="C149" s="103"/>
      <c r="D149" s="102"/>
      <c r="E149" s="98"/>
      <c r="F149" s="98"/>
      <c r="H149" s="95"/>
      <c r="J149" s="96"/>
      <c r="L149" s="96"/>
      <c r="N149" s="96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</row>
    <row r="150" spans="1:28" s="89" customFormat="1">
      <c r="A150" s="228"/>
      <c r="B150" s="225"/>
      <c r="C150" s="103"/>
      <c r="D150" s="102"/>
      <c r="E150" s="98"/>
      <c r="F150" s="98"/>
      <c r="H150" s="95"/>
      <c r="J150" s="96"/>
      <c r="L150" s="96"/>
      <c r="N150" s="96"/>
      <c r="O150" s="374"/>
      <c r="P150" s="374"/>
      <c r="Q150" s="374"/>
      <c r="R150" s="374"/>
      <c r="S150" s="374"/>
      <c r="T150" s="374"/>
      <c r="U150" s="374"/>
      <c r="V150" s="374"/>
      <c r="W150" s="374"/>
      <c r="X150" s="374"/>
      <c r="Y150" s="374"/>
      <c r="Z150" s="374"/>
      <c r="AA150" s="374"/>
      <c r="AB150" s="374"/>
    </row>
    <row r="151" spans="1:28" s="89" customFormat="1">
      <c r="A151" s="228"/>
      <c r="B151" s="365" t="s">
        <v>782</v>
      </c>
      <c r="C151" s="366"/>
      <c r="D151" s="367"/>
      <c r="E151" s="368"/>
      <c r="F151" s="368"/>
      <c r="G151" s="369"/>
      <c r="H151" s="370"/>
      <c r="I151" s="369"/>
      <c r="J151" s="371"/>
      <c r="K151" s="369"/>
      <c r="L151" s="371"/>
      <c r="N151" s="96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  <c r="Y151" s="374"/>
      <c r="Z151" s="374"/>
      <c r="AA151" s="374"/>
      <c r="AB151" s="374"/>
    </row>
    <row r="152" spans="1:28" s="89" customFormat="1">
      <c r="A152" s="228"/>
      <c r="B152" s="103"/>
      <c r="C152" s="97"/>
      <c r="D152" s="88"/>
      <c r="E152" s="98"/>
      <c r="F152" s="98"/>
      <c r="H152" s="95"/>
      <c r="J152" s="96"/>
      <c r="L152" s="96"/>
      <c r="N152" s="96"/>
      <c r="O152" s="374"/>
      <c r="P152" s="374"/>
      <c r="Q152" s="374"/>
      <c r="R152" s="374"/>
      <c r="S152" s="374"/>
      <c r="T152" s="374"/>
      <c r="U152" s="374"/>
      <c r="V152" s="374"/>
      <c r="W152" s="374"/>
      <c r="X152" s="374"/>
      <c r="Y152" s="374"/>
      <c r="Z152" s="374"/>
      <c r="AA152" s="374"/>
      <c r="AB152" s="374"/>
    </row>
    <row r="153" spans="1:28" s="89" customFormat="1">
      <c r="A153" s="228"/>
      <c r="B153" s="100" t="s">
        <v>777</v>
      </c>
      <c r="C153" s="97"/>
      <c r="D153" s="88"/>
      <c r="E153" s="98"/>
      <c r="F153" s="98"/>
      <c r="H153" s="95"/>
      <c r="J153" s="96"/>
      <c r="L153" s="96"/>
      <c r="N153" s="96"/>
      <c r="O153" s="374"/>
      <c r="P153" s="374"/>
      <c r="Q153" s="374"/>
      <c r="R153" s="374"/>
      <c r="S153" s="374"/>
      <c r="T153" s="374"/>
      <c r="U153" s="374"/>
      <c r="V153" s="374"/>
      <c r="W153" s="374"/>
      <c r="X153" s="374"/>
      <c r="Y153" s="374"/>
      <c r="Z153" s="374"/>
      <c r="AA153" s="374"/>
      <c r="AB153" s="374"/>
    </row>
  </sheetData>
  <mergeCells count="43">
    <mergeCell ref="B10:D10"/>
    <mergeCell ref="B8:D8"/>
    <mergeCell ref="A4:N4"/>
    <mergeCell ref="E5:F5"/>
    <mergeCell ref="G5:H5"/>
    <mergeCell ref="I5:J5"/>
    <mergeCell ref="K5:L5"/>
    <mergeCell ref="M5:N5"/>
    <mergeCell ref="B5:D5"/>
    <mergeCell ref="B132:D132"/>
    <mergeCell ref="B111:D111"/>
    <mergeCell ref="B106:D106"/>
    <mergeCell ref="B103:D103"/>
    <mergeCell ref="B100:D100"/>
    <mergeCell ref="B115:D115"/>
    <mergeCell ref="M118:N118"/>
    <mergeCell ref="B124:D124"/>
    <mergeCell ref="B129:D129"/>
    <mergeCell ref="E124:F124"/>
    <mergeCell ref="G124:H124"/>
    <mergeCell ref="I124:J124"/>
    <mergeCell ref="K124:L124"/>
    <mergeCell ref="M124:N124"/>
    <mergeCell ref="E129:F129"/>
    <mergeCell ref="G129:H129"/>
    <mergeCell ref="I129:J129"/>
    <mergeCell ref="K129:L129"/>
    <mergeCell ref="M129:N129"/>
    <mergeCell ref="B118:D118"/>
    <mergeCell ref="E118:F118"/>
    <mergeCell ref="G118:H118"/>
    <mergeCell ref="I118:J118"/>
    <mergeCell ref="K118:L118"/>
    <mergeCell ref="B27:D27"/>
    <mergeCell ref="B25:D25"/>
    <mergeCell ref="B17:D17"/>
    <mergeCell ref="B35:D35"/>
    <mergeCell ref="B31:D31"/>
    <mergeCell ref="B29:D29"/>
    <mergeCell ref="B67:D67"/>
    <mergeCell ref="B84:D84"/>
    <mergeCell ref="B79:D79"/>
    <mergeCell ref="B90:D90"/>
  </mergeCells>
  <dataValidations count="2">
    <dataValidation type="textLength" operator="greaterThanOrEqual" allowBlank="1" showErrorMessage="1" promptTitle="Produto" prompt="Informar o nome do produto" sqref="A9 A68:A78 A102 A82:A83 A85:A89 A122 A91:A93 A30 A32:A34 A36:A42 A95:A99 A62:A63 A28 A22:A24 A11:A12 A112:A114 A116 A107:A108 A80 A59:A60 A110 A104:A105 A128 A14:A16 A18:A20 A44:A57 A133 A135:A138">
      <formula1>1</formula1>
    </dataValidation>
    <dataValidation type="textLength" allowBlank="1" showInputMessage="1" showErrorMessage="1" sqref="A65:A66">
      <formula1>9</formula1>
      <formula2>13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5"/>
  <sheetViews>
    <sheetView topLeftCell="A91" workbookViewId="0">
      <selection activeCell="D102" sqref="D102"/>
    </sheetView>
  </sheetViews>
  <sheetFormatPr defaultRowHeight="12.75"/>
  <cols>
    <col min="1" max="1" width="17.7109375" customWidth="1"/>
    <col min="2" max="2" width="17.5703125" customWidth="1"/>
    <col min="3" max="3" width="14.5703125" customWidth="1"/>
    <col min="4" max="4" width="40.42578125" customWidth="1"/>
  </cols>
  <sheetData>
    <row r="2" spans="1:14" ht="44.25" customHeight="1"/>
    <row r="3" spans="1:14" ht="18.75" thickBot="1">
      <c r="A3" s="698" t="s">
        <v>779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</row>
    <row r="4" spans="1:14" s="514" customFormat="1" ht="16.5" customHeight="1">
      <c r="A4" s="550" t="s">
        <v>295</v>
      </c>
      <c r="B4" s="712" t="s">
        <v>321</v>
      </c>
      <c r="C4" s="713"/>
      <c r="D4" s="714"/>
      <c r="E4" s="710" t="s">
        <v>741</v>
      </c>
      <c r="F4" s="711"/>
      <c r="G4" s="710" t="s">
        <v>292</v>
      </c>
      <c r="H4" s="711"/>
      <c r="I4" s="710" t="s">
        <v>740</v>
      </c>
      <c r="J4" s="711"/>
      <c r="K4" s="710" t="s">
        <v>293</v>
      </c>
      <c r="L4" s="711"/>
      <c r="M4" s="710" t="s">
        <v>322</v>
      </c>
      <c r="N4" s="711"/>
    </row>
    <row r="5" spans="1:14" s="514" customFormat="1" ht="12.75" customHeight="1">
      <c r="A5" s="551" t="s">
        <v>296</v>
      </c>
      <c r="B5" s="580" t="s">
        <v>13</v>
      </c>
      <c r="C5" s="511" t="s">
        <v>83</v>
      </c>
      <c r="D5" s="588"/>
      <c r="E5" s="512" t="s">
        <v>81</v>
      </c>
      <c r="F5" s="512" t="s">
        <v>82</v>
      </c>
      <c r="G5" s="568" t="s">
        <v>81</v>
      </c>
      <c r="H5" s="109" t="s">
        <v>82</v>
      </c>
      <c r="I5" s="512" t="s">
        <v>81</v>
      </c>
      <c r="J5" s="512" t="s">
        <v>82</v>
      </c>
      <c r="K5" s="568" t="s">
        <v>81</v>
      </c>
      <c r="L5" s="109" t="s">
        <v>82</v>
      </c>
      <c r="M5" s="512" t="s">
        <v>81</v>
      </c>
      <c r="N5" s="109" t="s">
        <v>82</v>
      </c>
    </row>
    <row r="6" spans="1:14" s="514" customFormat="1" ht="15" customHeight="1">
      <c r="A6" s="552"/>
      <c r="B6" s="581" t="s">
        <v>14</v>
      </c>
      <c r="C6" s="515" t="s">
        <v>379</v>
      </c>
      <c r="D6" s="588" t="s">
        <v>84</v>
      </c>
      <c r="E6" s="512" t="s">
        <v>85</v>
      </c>
      <c r="F6" s="512" t="s">
        <v>297</v>
      </c>
      <c r="G6" s="568" t="s">
        <v>85</v>
      </c>
      <c r="H6" s="109" t="s">
        <v>297</v>
      </c>
      <c r="I6" s="512" t="s">
        <v>85</v>
      </c>
      <c r="J6" s="512" t="s">
        <v>297</v>
      </c>
      <c r="K6" s="568" t="s">
        <v>85</v>
      </c>
      <c r="L6" s="109" t="s">
        <v>297</v>
      </c>
      <c r="M6" s="512" t="s">
        <v>85</v>
      </c>
      <c r="N6" s="109" t="s">
        <v>297</v>
      </c>
    </row>
    <row r="7" spans="1:14" s="150" customFormat="1" ht="15">
      <c r="A7" s="553"/>
      <c r="B7" s="715" t="s">
        <v>323</v>
      </c>
      <c r="C7" s="716"/>
      <c r="D7" s="717"/>
      <c r="E7" s="536"/>
      <c r="F7" s="537"/>
      <c r="G7" s="645"/>
      <c r="H7" s="295"/>
      <c r="I7" s="536"/>
      <c r="J7" s="537"/>
      <c r="K7" s="645"/>
      <c r="L7" s="295"/>
      <c r="M7" s="536"/>
      <c r="N7" s="295"/>
    </row>
    <row r="8" spans="1:14" s="150" customFormat="1">
      <c r="A8" s="561">
        <v>7891721023477</v>
      </c>
      <c r="B8" s="583" t="s">
        <v>26</v>
      </c>
      <c r="C8" s="139" t="s">
        <v>553</v>
      </c>
      <c r="D8" s="639" t="s">
        <v>324</v>
      </c>
      <c r="E8" s="531">
        <f>ROUND(G8*1.025,2)</f>
        <v>75.09</v>
      </c>
      <c r="F8" s="531">
        <f>ROUND(E8/0.723358,2)</f>
        <v>103.81</v>
      </c>
      <c r="G8" s="616">
        <v>73.257824190712341</v>
      </c>
      <c r="H8" s="605">
        <f>ROUND(G8/0.723358,2)</f>
        <v>101.27</v>
      </c>
      <c r="I8" s="531">
        <f>ROUND(G8*0.993939,2)</f>
        <v>72.81</v>
      </c>
      <c r="J8" s="531">
        <f>ROUND(I8/0.723358,2)</f>
        <v>100.66</v>
      </c>
      <c r="K8" s="616">
        <v>72.37</v>
      </c>
      <c r="L8" s="605">
        <f>ROUND(K8/0.723358,2)</f>
        <v>100.05</v>
      </c>
      <c r="M8" s="531">
        <f>ROUND(G8*0.931818,2)</f>
        <v>68.260000000000005</v>
      </c>
      <c r="N8" s="605">
        <f>ROUND(M8/0.723358,2)</f>
        <v>94.37</v>
      </c>
    </row>
    <row r="9" spans="1:14" s="150" customFormat="1">
      <c r="A9" s="561">
        <v>7891721023484</v>
      </c>
      <c r="B9" s="583" t="s">
        <v>27</v>
      </c>
      <c r="C9" s="139" t="s">
        <v>550</v>
      </c>
      <c r="D9" s="639" t="s">
        <v>325</v>
      </c>
      <c r="E9" s="531">
        <f>ROUND(G9*1.025,2)</f>
        <v>147.43</v>
      </c>
      <c r="F9" s="531">
        <f>ROUND(E9/0.723358,2)</f>
        <v>203.81</v>
      </c>
      <c r="G9" s="616">
        <v>143.83382327162599</v>
      </c>
      <c r="H9" s="605">
        <f>ROUND(G9/0.723358,2)</f>
        <v>198.84</v>
      </c>
      <c r="I9" s="531">
        <f>ROUND(G9*0.993939,2)</f>
        <v>142.96</v>
      </c>
      <c r="J9" s="531">
        <f>ROUND(I9/0.723358,2)</f>
        <v>197.63</v>
      </c>
      <c r="K9" s="616">
        <f>ROUND(G9*0.987952,2)</f>
        <v>142.1</v>
      </c>
      <c r="L9" s="605">
        <f>ROUND(K9/0.723358,2)</f>
        <v>196.44</v>
      </c>
      <c r="M9" s="531">
        <f>ROUND(G9*0.931818,2)</f>
        <v>134.03</v>
      </c>
      <c r="N9" s="605">
        <f>ROUND(M9/0.723358,2)</f>
        <v>185.29</v>
      </c>
    </row>
    <row r="10" spans="1:14" s="150" customFormat="1" ht="15">
      <c r="A10" s="553"/>
      <c r="B10" s="715" t="s">
        <v>558</v>
      </c>
      <c r="C10" s="716"/>
      <c r="D10" s="717"/>
      <c r="E10" s="536"/>
      <c r="F10" s="537"/>
      <c r="G10" s="645"/>
      <c r="H10" s="295"/>
      <c r="I10" s="536"/>
      <c r="J10" s="537"/>
      <c r="K10" s="645"/>
      <c r="L10" s="295"/>
      <c r="M10" s="536"/>
      <c r="N10" s="295"/>
    </row>
    <row r="11" spans="1:14" s="150" customFormat="1">
      <c r="A11" s="561">
        <v>7891721276019</v>
      </c>
      <c r="B11" s="583">
        <v>1008903570034</v>
      </c>
      <c r="C11" s="139" t="s">
        <v>564</v>
      </c>
      <c r="D11" s="639" t="s">
        <v>559</v>
      </c>
      <c r="E11" s="649">
        <f>ROUND(G11*1.025,2)</f>
        <v>17.350000000000001</v>
      </c>
      <c r="F11" s="649">
        <f>ROUND(E11/0.723358,2)</f>
        <v>23.99</v>
      </c>
      <c r="G11" s="650">
        <v>16.929021005604337</v>
      </c>
      <c r="H11" s="651">
        <f>ROUND(G11/0.723358,2)</f>
        <v>23.4</v>
      </c>
      <c r="I11" s="649">
        <f>ROUND(G11*0.993939,2)</f>
        <v>16.829999999999998</v>
      </c>
      <c r="J11" s="649">
        <f>ROUND(I11/0.723358,2)</f>
        <v>23.27</v>
      </c>
      <c r="K11" s="650">
        <f>ROUND(G11*0.987952,2)</f>
        <v>16.73</v>
      </c>
      <c r="L11" s="651">
        <f>ROUND(K11/0.723358,2)</f>
        <v>23.13</v>
      </c>
      <c r="M11" s="649">
        <f>ROUND(G11*0.931818,2)</f>
        <v>15.77</v>
      </c>
      <c r="N11" s="651">
        <f>ROUND(M11/0.723358,2)</f>
        <v>21.8</v>
      </c>
    </row>
    <row r="12" spans="1:14" s="150" customFormat="1">
      <c r="A12" s="565">
        <v>7891721276026</v>
      </c>
      <c r="B12" s="583">
        <v>1008903570026</v>
      </c>
      <c r="C12" s="139" t="s">
        <v>0</v>
      </c>
      <c r="D12" s="639" t="s">
        <v>560</v>
      </c>
      <c r="E12" s="531">
        <f>ROUND(G12*1.025,2)</f>
        <v>24.29</v>
      </c>
      <c r="F12" s="531">
        <f>ROUND(E12/0.723358,2)</f>
        <v>33.58</v>
      </c>
      <c r="G12" s="650">
        <v>23.696439056112013</v>
      </c>
      <c r="H12" s="605">
        <f>ROUND(G12/0.723358,2)</f>
        <v>32.76</v>
      </c>
      <c r="I12" s="531">
        <f>ROUND(G12*0.993939,2)</f>
        <v>23.55</v>
      </c>
      <c r="J12" s="531">
        <f>ROUND(I12/0.723358,2)</f>
        <v>32.56</v>
      </c>
      <c r="K12" s="616">
        <f>ROUND(G12*0.987952,2)</f>
        <v>23.41</v>
      </c>
      <c r="L12" s="605">
        <f>ROUND(K12/0.723358,2)</f>
        <v>32.36</v>
      </c>
      <c r="M12" s="531">
        <f>ROUND(G12*0.931818,2)</f>
        <v>22.08</v>
      </c>
      <c r="N12" s="605">
        <f>ROUND(M12/0.723358,2)</f>
        <v>30.52</v>
      </c>
    </row>
    <row r="13" spans="1:14" s="150" customFormat="1">
      <c r="A13" s="561">
        <v>7891721022777</v>
      </c>
      <c r="B13" s="583">
        <v>1008903570018</v>
      </c>
      <c r="C13" s="139" t="s">
        <v>1</v>
      </c>
      <c r="D13" s="639" t="s">
        <v>561</v>
      </c>
      <c r="E13" s="531">
        <f>ROUND(G13*1.025,2)</f>
        <v>35.97</v>
      </c>
      <c r="F13" s="531">
        <f>ROUND(E13/0.723358,2)</f>
        <v>49.73</v>
      </c>
      <c r="G13" s="650">
        <v>35.094195772756514</v>
      </c>
      <c r="H13" s="605">
        <f>ROUND(G13/0.723358,2)</f>
        <v>48.52</v>
      </c>
      <c r="I13" s="531">
        <f>ROUND(G13*0.993939,2)</f>
        <v>34.880000000000003</v>
      </c>
      <c r="J13" s="531">
        <f>ROUND(I13/0.723358,2)</f>
        <v>48.22</v>
      </c>
      <c r="K13" s="616">
        <f>ROUND(G13*0.987952,2)</f>
        <v>34.67</v>
      </c>
      <c r="L13" s="605">
        <f>ROUND(K13/0.723358,2)</f>
        <v>47.93</v>
      </c>
      <c r="M13" s="531">
        <f>ROUND(G13*0.931818,2)</f>
        <v>32.700000000000003</v>
      </c>
      <c r="N13" s="605">
        <f>ROUND(M13/0.723358,2)</f>
        <v>45.21</v>
      </c>
    </row>
    <row r="14" spans="1:14" s="150" customFormat="1" ht="15">
      <c r="A14" s="553"/>
      <c r="B14" s="715" t="s">
        <v>326</v>
      </c>
      <c r="C14" s="716"/>
      <c r="D14" s="717"/>
      <c r="E14" s="536"/>
      <c r="F14" s="537"/>
      <c r="G14" s="645"/>
      <c r="H14" s="295"/>
      <c r="I14" s="536"/>
      <c r="J14" s="537"/>
      <c r="K14" s="645"/>
      <c r="L14" s="295"/>
      <c r="M14" s="536"/>
      <c r="N14" s="295"/>
    </row>
    <row r="15" spans="1:14" s="150" customFormat="1">
      <c r="A15" s="561">
        <v>7891721277429</v>
      </c>
      <c r="B15" s="583" t="s">
        <v>30</v>
      </c>
      <c r="C15" s="139" t="s">
        <v>500</v>
      </c>
      <c r="D15" s="639" t="s">
        <v>641</v>
      </c>
      <c r="E15" s="649">
        <f>G15</f>
        <v>43.642513310239892</v>
      </c>
      <c r="F15" s="649">
        <f>H15</f>
        <v>60.33</v>
      </c>
      <c r="G15" s="650">
        <v>43.642513310239892</v>
      </c>
      <c r="H15" s="651">
        <f>ROUND(G15/0.723358,2)</f>
        <v>60.33</v>
      </c>
      <c r="I15" s="649">
        <f>ROUND(G15*0.993939,2)</f>
        <v>43.38</v>
      </c>
      <c r="J15" s="649">
        <f>ROUND(I15/0.723358,2)</f>
        <v>59.97</v>
      </c>
      <c r="K15" s="650">
        <f>ROUND(G15*0.987952,2)</f>
        <v>43.12</v>
      </c>
      <c r="L15" s="651">
        <f>ROUND(K15/0.723358,2)</f>
        <v>59.61</v>
      </c>
      <c r="M15" s="649">
        <f>ROUND(G15*0.931818,2)</f>
        <v>40.67</v>
      </c>
      <c r="N15" s="651">
        <f>ROUND(M15/0.723358,2)</f>
        <v>56.22</v>
      </c>
    </row>
    <row r="16" spans="1:14" s="150" customFormat="1">
      <c r="A16" s="565">
        <v>7891721277436</v>
      </c>
      <c r="B16" s="583" t="s">
        <v>29</v>
      </c>
      <c r="C16" s="139" t="s">
        <v>403</v>
      </c>
      <c r="D16" s="639" t="s">
        <v>629</v>
      </c>
      <c r="E16" s="531">
        <f>G16</f>
        <v>21.821256655119946</v>
      </c>
      <c r="F16" s="531">
        <f t="shared" ref="F16:F17" si="0">H16</f>
        <v>30.17</v>
      </c>
      <c r="G16" s="650">
        <v>21.821256655119946</v>
      </c>
      <c r="H16" s="605">
        <f>ROUND(G16/0.723358,2)</f>
        <v>30.17</v>
      </c>
      <c r="I16" s="531">
        <f>ROUND(G16*0.993939,2)</f>
        <v>21.69</v>
      </c>
      <c r="J16" s="531">
        <f>ROUND(I16/0.723358,2)</f>
        <v>29.99</v>
      </c>
      <c r="K16" s="616">
        <f>ROUND(G16*0.987952,2)</f>
        <v>21.56</v>
      </c>
      <c r="L16" s="605">
        <f>ROUND(K16/0.723358,2)</f>
        <v>29.81</v>
      </c>
      <c r="M16" s="531">
        <f>ROUND(G16*0.931818,2)</f>
        <v>20.329999999999998</v>
      </c>
      <c r="N16" s="605">
        <f>ROUND(M16/0.723358,2)</f>
        <v>28.11</v>
      </c>
    </row>
    <row r="17" spans="1:14" s="150" customFormat="1">
      <c r="A17" s="561">
        <v>7891721277450</v>
      </c>
      <c r="B17" s="583" t="s">
        <v>28</v>
      </c>
      <c r="C17" s="139" t="s">
        <v>501</v>
      </c>
      <c r="D17" s="639" t="s">
        <v>628</v>
      </c>
      <c r="E17" s="531">
        <f>G17</f>
        <v>34.821822910042592</v>
      </c>
      <c r="F17" s="531">
        <f t="shared" si="0"/>
        <v>48.14</v>
      </c>
      <c r="G17" s="650">
        <v>34.821822910042592</v>
      </c>
      <c r="H17" s="605">
        <f>ROUND(G17/0.723358,2)</f>
        <v>48.14</v>
      </c>
      <c r="I17" s="531">
        <f>ROUND(G17*0.993939,2)</f>
        <v>34.61</v>
      </c>
      <c r="J17" s="531">
        <f>ROUND(I17/0.723358,2)</f>
        <v>47.85</v>
      </c>
      <c r="K17" s="616">
        <f>ROUND(G17*0.987952,2)</f>
        <v>34.4</v>
      </c>
      <c r="L17" s="605">
        <f>ROUND(K17/0.723358,2)</f>
        <v>47.56</v>
      </c>
      <c r="M17" s="531">
        <f>ROUND(G17*0.931818,2)</f>
        <v>32.450000000000003</v>
      </c>
      <c r="N17" s="605">
        <f>ROUND(M17/0.723358,2)</f>
        <v>44.86</v>
      </c>
    </row>
    <row r="18" spans="1:14" s="150" customFormat="1" ht="15">
      <c r="A18" s="553"/>
      <c r="B18" s="715" t="s">
        <v>327</v>
      </c>
      <c r="C18" s="716"/>
      <c r="D18" s="717"/>
      <c r="E18" s="536"/>
      <c r="F18" s="537"/>
      <c r="G18" s="645"/>
      <c r="H18" s="295"/>
      <c r="I18" s="536"/>
      <c r="J18" s="537"/>
      <c r="K18" s="645"/>
      <c r="L18" s="295"/>
      <c r="M18" s="536"/>
      <c r="N18" s="295"/>
    </row>
    <row r="19" spans="1:14" s="150" customFormat="1">
      <c r="A19" s="561">
        <v>7891721013034</v>
      </c>
      <c r="B19" s="583" t="s">
        <v>76</v>
      </c>
      <c r="C19" s="139" t="s">
        <v>404</v>
      </c>
      <c r="D19" s="639" t="s">
        <v>328</v>
      </c>
      <c r="E19" s="531">
        <f>ROUND(G19*1.025,2)</f>
        <v>8.0399999999999991</v>
      </c>
      <c r="F19" s="531">
        <f>ROUND(E19/0.723358,2)</f>
        <v>11.11</v>
      </c>
      <c r="G19" s="616">
        <v>7.8464336220282487</v>
      </c>
      <c r="H19" s="605">
        <f>ROUND(G19/0.723358,2)</f>
        <v>10.85</v>
      </c>
      <c r="I19" s="531">
        <f>ROUND(G19*0.993939,2)</f>
        <v>7.8</v>
      </c>
      <c r="J19" s="531">
        <f>ROUND(I19/0.723358,2)</f>
        <v>10.78</v>
      </c>
      <c r="K19" s="616">
        <f>ROUND(G19*0.987952,2)</f>
        <v>7.75</v>
      </c>
      <c r="L19" s="605">
        <f>ROUND(K19/0.723358,2)</f>
        <v>10.71</v>
      </c>
      <c r="M19" s="531">
        <f>ROUND(G19*0.931818,2)</f>
        <v>7.31</v>
      </c>
      <c r="N19" s="605">
        <f>ROUND(M19/0.723358,2)</f>
        <v>10.11</v>
      </c>
    </row>
    <row r="20" spans="1:14" s="150" customFormat="1">
      <c r="A20" s="561">
        <v>7891721013096</v>
      </c>
      <c r="B20" s="583" t="s">
        <v>77</v>
      </c>
      <c r="C20" s="139" t="s">
        <v>502</v>
      </c>
      <c r="D20" s="639" t="s">
        <v>329</v>
      </c>
      <c r="E20" s="531">
        <f>ROUND(G20*1.025,2)</f>
        <v>12.39</v>
      </c>
      <c r="F20" s="531">
        <f>ROUND(E20/0.723358,2)</f>
        <v>17.13</v>
      </c>
      <c r="G20" s="616">
        <v>12.089164752764482</v>
      </c>
      <c r="H20" s="605">
        <f>ROUND(G20/0.723358,2)</f>
        <v>16.71</v>
      </c>
      <c r="I20" s="531">
        <f>ROUND(G20*0.993939,2)</f>
        <v>12.02</v>
      </c>
      <c r="J20" s="531">
        <f>ROUND(I20/0.723358,2)</f>
        <v>16.62</v>
      </c>
      <c r="K20" s="616">
        <f>ROUND(G20*0.987952,2)</f>
        <v>11.94</v>
      </c>
      <c r="L20" s="605">
        <f>ROUND(K20/0.723358,2)</f>
        <v>16.510000000000002</v>
      </c>
      <c r="M20" s="531">
        <f>ROUND(G20*0.931818,2)</f>
        <v>11.26</v>
      </c>
      <c r="N20" s="605">
        <f>ROUND(M20/0.723358,2)</f>
        <v>15.57</v>
      </c>
    </row>
    <row r="21" spans="1:14" s="150" customFormat="1" ht="15">
      <c r="A21" s="553"/>
      <c r="B21" s="715" t="s">
        <v>330</v>
      </c>
      <c r="C21" s="716"/>
      <c r="D21" s="717"/>
      <c r="E21" s="536"/>
      <c r="F21" s="537"/>
      <c r="G21" s="645"/>
      <c r="H21" s="295"/>
      <c r="I21" s="536"/>
      <c r="J21" s="537"/>
      <c r="K21" s="645"/>
      <c r="L21" s="295"/>
      <c r="M21" s="536"/>
      <c r="N21" s="295"/>
    </row>
    <row r="22" spans="1:14" s="150" customFormat="1">
      <c r="A22" s="561">
        <v>7891721274107</v>
      </c>
      <c r="B22" s="583" t="s">
        <v>19</v>
      </c>
      <c r="C22" s="139" t="s">
        <v>503</v>
      </c>
      <c r="D22" s="639" t="s">
        <v>20</v>
      </c>
      <c r="E22" s="649">
        <f>ROUND(G22*1.025,2)</f>
        <v>93.77</v>
      </c>
      <c r="F22" s="649">
        <f>ROUND(E22/0.723358,2)</f>
        <v>129.63</v>
      </c>
      <c r="G22" s="616">
        <v>91.485854233875415</v>
      </c>
      <c r="H22" s="651">
        <f>ROUND(G22/0.723358,2)</f>
        <v>126.47</v>
      </c>
      <c r="I22" s="649">
        <f>ROUND(G22*0.993939,2)</f>
        <v>90.93</v>
      </c>
      <c r="J22" s="649">
        <f>ROUND(I22/0.723358,2)</f>
        <v>125.71</v>
      </c>
      <c r="K22" s="650">
        <f>ROUND(G22*0.987952,2)</f>
        <v>90.38</v>
      </c>
      <c r="L22" s="651">
        <f>ROUND(K22/0.723358,2)</f>
        <v>124.95</v>
      </c>
      <c r="M22" s="538">
        <f>ROUND(G22*0.931818,2)</f>
        <v>85.25</v>
      </c>
      <c r="N22" s="652">
        <f>ROUND(M22/0.723358,2)</f>
        <v>117.85</v>
      </c>
    </row>
    <row r="23" spans="1:14" s="150" customFormat="1" ht="15">
      <c r="A23" s="553"/>
      <c r="B23" s="636" t="s">
        <v>331</v>
      </c>
      <c r="C23" s="535"/>
      <c r="D23" s="638"/>
      <c r="E23" s="536"/>
      <c r="F23" s="537"/>
      <c r="G23" s="645"/>
      <c r="H23" s="295"/>
      <c r="I23" s="536"/>
      <c r="J23" s="537"/>
      <c r="K23" s="645"/>
      <c r="L23" s="295"/>
      <c r="M23" s="536"/>
      <c r="N23" s="295"/>
    </row>
    <row r="24" spans="1:14" s="150" customFormat="1">
      <c r="A24" s="565">
        <v>7891721270574</v>
      </c>
      <c r="B24" s="583" t="s">
        <v>64</v>
      </c>
      <c r="C24" s="139" t="s">
        <v>504</v>
      </c>
      <c r="D24" s="639" t="s">
        <v>624</v>
      </c>
      <c r="E24" s="531">
        <f>G24</f>
        <v>43.77869974159686</v>
      </c>
      <c r="F24" s="531">
        <f t="shared" ref="F24:F25" si="1">H24</f>
        <v>60.52</v>
      </c>
      <c r="G24" s="616">
        <v>43.77869974159686</v>
      </c>
      <c r="H24" s="605">
        <f>ROUND(G24/0.723358,2)</f>
        <v>60.52</v>
      </c>
      <c r="I24" s="531">
        <f>ROUND(G24*0.993939,2)</f>
        <v>43.51</v>
      </c>
      <c r="J24" s="531">
        <f>ROUND(I24/0.723358,2)</f>
        <v>60.15</v>
      </c>
      <c r="K24" s="616">
        <f>ROUND(G24*0.987952,2)</f>
        <v>43.25</v>
      </c>
      <c r="L24" s="605">
        <f>ROUND(K24/0.723358,2)</f>
        <v>59.79</v>
      </c>
      <c r="M24" s="531">
        <f>ROUND(G24*0.931818,2)</f>
        <v>40.79</v>
      </c>
      <c r="N24" s="605">
        <f>ROUND(M24/0.723358,2)</f>
        <v>56.39</v>
      </c>
    </row>
    <row r="25" spans="1:14" s="150" customFormat="1">
      <c r="A25" s="565">
        <v>7891721270581</v>
      </c>
      <c r="B25" s="583" t="s">
        <v>65</v>
      </c>
      <c r="C25" s="139" t="s">
        <v>405</v>
      </c>
      <c r="D25" s="639" t="s">
        <v>625</v>
      </c>
      <c r="E25" s="531">
        <f>G25</f>
        <v>102.25505819041085</v>
      </c>
      <c r="F25" s="531">
        <f t="shared" si="1"/>
        <v>141.36000000000001</v>
      </c>
      <c r="G25" s="616">
        <v>102.25505819041085</v>
      </c>
      <c r="H25" s="605">
        <f>ROUND(G25/0.723358,2)</f>
        <v>141.36000000000001</v>
      </c>
      <c r="I25" s="531">
        <f>ROUND(G25*0.993939,2)</f>
        <v>101.64</v>
      </c>
      <c r="J25" s="531">
        <f>ROUND(I25/0.723358,2)</f>
        <v>140.51</v>
      </c>
      <c r="K25" s="616">
        <f>ROUND(G25*0.987952,2)</f>
        <v>101.02</v>
      </c>
      <c r="L25" s="605">
        <f>ROUND(K25/0.723358,2)</f>
        <v>139.65</v>
      </c>
      <c r="M25" s="531">
        <f>ROUND(G25*0.931818,2)</f>
        <v>95.28</v>
      </c>
      <c r="N25" s="605">
        <f>ROUND(M25/0.723358,2)</f>
        <v>131.72</v>
      </c>
    </row>
    <row r="26" spans="1:14" s="150" customFormat="1" ht="15">
      <c r="A26" s="553"/>
      <c r="B26" s="636" t="s">
        <v>734</v>
      </c>
      <c r="C26" s="535"/>
      <c r="D26" s="638"/>
      <c r="E26" s="536"/>
      <c r="F26" s="537"/>
      <c r="G26" s="645"/>
      <c r="H26" s="295"/>
      <c r="I26" s="536"/>
      <c r="J26" s="537"/>
      <c r="K26" s="645"/>
      <c r="L26" s="295"/>
      <c r="M26" s="536"/>
      <c r="N26" s="295"/>
    </row>
    <row r="27" spans="1:14" s="150" customFormat="1">
      <c r="A27" s="561">
        <v>7891721274022</v>
      </c>
      <c r="B27" s="583">
        <v>1008903860032</v>
      </c>
      <c r="C27" s="139">
        <v>3279680001</v>
      </c>
      <c r="D27" s="639" t="s">
        <v>735</v>
      </c>
      <c r="E27" s="649">
        <f>ROUND(G27*1.025,2)</f>
        <v>27.75</v>
      </c>
      <c r="F27" s="649">
        <f>ROUND(E27/0.723358,2)</f>
        <v>38.36</v>
      </c>
      <c r="G27" s="616">
        <v>27.069672202030699</v>
      </c>
      <c r="H27" s="651">
        <f>ROUND(G27/0.723358,2)</f>
        <v>37.42</v>
      </c>
      <c r="I27" s="649">
        <v>26.9</v>
      </c>
      <c r="J27" s="649">
        <f>ROUND(I27/0.723358,2)</f>
        <v>37.19</v>
      </c>
      <c r="K27" s="650">
        <f>ROUND(G27*0.987952,2)</f>
        <v>26.74</v>
      </c>
      <c r="L27" s="651">
        <f>ROUND(K27/0.723358,2)</f>
        <v>36.97</v>
      </c>
      <c r="M27" s="538">
        <f>ROUND(G27*0.931818,2)</f>
        <v>25.22</v>
      </c>
      <c r="N27" s="652">
        <f>ROUND(M27/0.723358,2)</f>
        <v>34.869999999999997</v>
      </c>
    </row>
    <row r="28" spans="1:14" s="150" customFormat="1" ht="15">
      <c r="A28" s="553"/>
      <c r="B28" s="636" t="s">
        <v>332</v>
      </c>
      <c r="C28" s="535"/>
      <c r="D28" s="638"/>
      <c r="E28" s="536"/>
      <c r="F28" s="537"/>
      <c r="G28" s="645"/>
      <c r="H28" s="295"/>
      <c r="I28" s="536"/>
      <c r="J28" s="537"/>
      <c r="K28" s="645"/>
      <c r="L28" s="295"/>
      <c r="M28" s="536"/>
      <c r="N28" s="295"/>
    </row>
    <row r="29" spans="1:14" s="150" customFormat="1">
      <c r="A29" s="561">
        <v>7891721238123</v>
      </c>
      <c r="B29" s="583" t="s">
        <v>38</v>
      </c>
      <c r="C29" s="139" t="s">
        <v>505</v>
      </c>
      <c r="D29" s="601" t="s">
        <v>678</v>
      </c>
      <c r="E29" s="531">
        <f>G29</f>
        <v>9.3148731090039512</v>
      </c>
      <c r="F29" s="531">
        <f t="shared" ref="F29:F32" si="2">H29</f>
        <v>12.88</v>
      </c>
      <c r="G29" s="616">
        <v>9.3148731090039512</v>
      </c>
      <c r="H29" s="605">
        <f>ROUND(G29/0.723358,2)</f>
        <v>12.88</v>
      </c>
      <c r="I29" s="531">
        <f>ROUND(G29*0.993939,2)</f>
        <v>9.26</v>
      </c>
      <c r="J29" s="531">
        <f>ROUND(I29/0.723358,2)</f>
        <v>12.8</v>
      </c>
      <c r="K29" s="616">
        <f>ROUND(G29*0.987952,2)</f>
        <v>9.1999999999999993</v>
      </c>
      <c r="L29" s="605">
        <f>ROUND(K29/0.723358,2)</f>
        <v>12.72</v>
      </c>
      <c r="M29" s="531">
        <f>ROUND(G29*0.931818,2)</f>
        <v>8.68</v>
      </c>
      <c r="N29" s="605">
        <f>ROUND(M29/0.723358,2)</f>
        <v>12</v>
      </c>
    </row>
    <row r="30" spans="1:14" s="150" customFormat="1">
      <c r="A30" s="565">
        <v>7891721027406</v>
      </c>
      <c r="B30" s="583" t="s">
        <v>39</v>
      </c>
      <c r="C30" s="139" t="s">
        <v>664</v>
      </c>
      <c r="D30" s="639" t="s">
        <v>701</v>
      </c>
      <c r="E30" s="531">
        <f>G30</f>
        <v>12.659713289603848</v>
      </c>
      <c r="F30" s="531">
        <f t="shared" si="2"/>
        <v>17.5</v>
      </c>
      <c r="G30" s="616">
        <v>12.659713289603848</v>
      </c>
      <c r="H30" s="605">
        <f>ROUND(G30/0.723358,2)</f>
        <v>17.5</v>
      </c>
      <c r="I30" s="531">
        <f>ROUND(G30*0.993939,2)</f>
        <v>12.58</v>
      </c>
      <c r="J30" s="531">
        <f>ROUND(I30/0.723358,2)</f>
        <v>17.39</v>
      </c>
      <c r="K30" s="616">
        <f>ROUND(G30*0.987952,2)</f>
        <v>12.51</v>
      </c>
      <c r="L30" s="605">
        <f>ROUND(K30/0.723358,2)</f>
        <v>17.29</v>
      </c>
      <c r="M30" s="531">
        <f>ROUND(G30*0.931818,2)</f>
        <v>11.8</v>
      </c>
      <c r="N30" s="605">
        <f>ROUND(M30/0.723358,2)</f>
        <v>16.309999999999999</v>
      </c>
    </row>
    <row r="31" spans="1:14" s="150" customFormat="1">
      <c r="A31" s="565">
        <v>7891721238239</v>
      </c>
      <c r="B31" s="583" t="s">
        <v>37</v>
      </c>
      <c r="C31" s="139" t="s">
        <v>506</v>
      </c>
      <c r="D31" s="639" t="s">
        <v>679</v>
      </c>
      <c r="E31" s="531">
        <f>G31</f>
        <v>17.3222177837734</v>
      </c>
      <c r="F31" s="531">
        <f t="shared" si="2"/>
        <v>23.95</v>
      </c>
      <c r="G31" s="616">
        <v>17.3222177837734</v>
      </c>
      <c r="H31" s="605">
        <f>ROUND(G31/0.723358,2)</f>
        <v>23.95</v>
      </c>
      <c r="I31" s="531">
        <f>ROUND(G31*0.993939,2)</f>
        <v>17.22</v>
      </c>
      <c r="J31" s="531">
        <f>ROUND(I31/0.723358,2)</f>
        <v>23.81</v>
      </c>
      <c r="K31" s="616">
        <f>ROUND(G31*0.987952,2)</f>
        <v>17.11</v>
      </c>
      <c r="L31" s="605">
        <f>ROUND(K31/0.723358,2)</f>
        <v>23.65</v>
      </c>
      <c r="M31" s="531">
        <f>ROUND(G31*0.931818,2)</f>
        <v>16.14</v>
      </c>
      <c r="N31" s="605">
        <f>ROUND(M31/0.723358,2)</f>
        <v>22.31</v>
      </c>
    </row>
    <row r="32" spans="1:14" s="150" customFormat="1">
      <c r="A32" s="565">
        <v>7891721238246</v>
      </c>
      <c r="B32" s="583" t="s">
        <v>40</v>
      </c>
      <c r="C32" s="139" t="s">
        <v>507</v>
      </c>
      <c r="D32" s="639" t="s">
        <v>702</v>
      </c>
      <c r="E32" s="531">
        <f>G32</f>
        <v>23.525375936885933</v>
      </c>
      <c r="F32" s="531">
        <f t="shared" si="2"/>
        <v>32.520000000000003</v>
      </c>
      <c r="G32" s="616">
        <v>23.525375936885933</v>
      </c>
      <c r="H32" s="605">
        <f>ROUND(G32/0.723358,2)</f>
        <v>32.520000000000003</v>
      </c>
      <c r="I32" s="531">
        <f>ROUND(G32*0.993939,2)</f>
        <v>23.38</v>
      </c>
      <c r="J32" s="531">
        <f>ROUND(I32/0.723358,2)</f>
        <v>32.32</v>
      </c>
      <c r="K32" s="616">
        <f>ROUND(G32*0.987952,2)</f>
        <v>23.24</v>
      </c>
      <c r="L32" s="605">
        <f>ROUND(K32/0.723358,2)</f>
        <v>32.130000000000003</v>
      </c>
      <c r="M32" s="531">
        <f>ROUND(G32*0.931818,2)</f>
        <v>21.92</v>
      </c>
      <c r="N32" s="605">
        <f>ROUND(M32/0.723358,2)</f>
        <v>30.3</v>
      </c>
    </row>
    <row r="33" spans="1:14" s="150" customFormat="1">
      <c r="A33" s="565">
        <v>7891721238253</v>
      </c>
      <c r="B33" s="583" t="s">
        <v>41</v>
      </c>
      <c r="C33" s="139" t="s">
        <v>508</v>
      </c>
      <c r="D33" s="639" t="s">
        <v>754</v>
      </c>
      <c r="E33" s="531">
        <f>ROUND(G33*1.025,2)</f>
        <v>17.84</v>
      </c>
      <c r="F33" s="531">
        <f>ROUND(E33/0.723358,2)</f>
        <v>24.66</v>
      </c>
      <c r="G33" s="616">
        <v>17.403304818454611</v>
      </c>
      <c r="H33" s="605">
        <f>ROUND(G33/0.723358,2)</f>
        <v>24.06</v>
      </c>
      <c r="I33" s="531">
        <f>ROUND(G33*0.993939,2)</f>
        <v>17.3</v>
      </c>
      <c r="J33" s="531">
        <f>ROUND(I33/0.723358,2)</f>
        <v>23.92</v>
      </c>
      <c r="K33" s="616">
        <f>ROUND(G33*0.987952,2)</f>
        <v>17.190000000000001</v>
      </c>
      <c r="L33" s="605">
        <f>ROUND(K33/0.723358,2)</f>
        <v>23.76</v>
      </c>
      <c r="M33" s="531">
        <f>ROUND(G33*0.931818,2)</f>
        <v>16.22</v>
      </c>
      <c r="N33" s="605">
        <f>ROUND(M33/0.723358,2)</f>
        <v>22.42</v>
      </c>
    </row>
    <row r="34" spans="1:14" s="150" customFormat="1" ht="15">
      <c r="A34" s="553"/>
      <c r="B34" s="636" t="s">
        <v>722</v>
      </c>
      <c r="C34" s="535"/>
      <c r="D34" s="638"/>
      <c r="E34" s="536"/>
      <c r="F34" s="537"/>
      <c r="G34" s="645"/>
      <c r="H34" s="295"/>
      <c r="I34" s="536"/>
      <c r="J34" s="537"/>
      <c r="K34" s="645"/>
      <c r="L34" s="295"/>
      <c r="M34" s="536"/>
      <c r="N34" s="295"/>
    </row>
    <row r="35" spans="1:14" s="150" customFormat="1">
      <c r="A35" s="565">
        <v>7891721022722</v>
      </c>
      <c r="B35" s="583">
        <v>1008903790034</v>
      </c>
      <c r="C35" s="139">
        <v>3227880001</v>
      </c>
      <c r="D35" s="639" t="s">
        <v>714</v>
      </c>
      <c r="E35" s="531">
        <f>G35</f>
        <v>6.6491368438591865</v>
      </c>
      <c r="F35" s="531">
        <f>H35</f>
        <v>9.19</v>
      </c>
      <c r="G35" s="616">
        <v>6.6491368438591865</v>
      </c>
      <c r="H35" s="605">
        <f>ROUND(G35/0.723358,2)</f>
        <v>9.19</v>
      </c>
      <c r="I35" s="531">
        <f>ROUND(G35*0.993939,2)</f>
        <v>6.61</v>
      </c>
      <c r="J35" s="531">
        <f>ROUND(I35/0.723358,2)</f>
        <v>9.14</v>
      </c>
      <c r="K35" s="616">
        <f>ROUND(G35*0.987952,2)</f>
        <v>6.57</v>
      </c>
      <c r="L35" s="605">
        <f>ROUND(K35/0.723358,2)</f>
        <v>9.08</v>
      </c>
      <c r="M35" s="531">
        <f>ROUND(G35*0.931818,2)</f>
        <v>6.2</v>
      </c>
      <c r="N35" s="605">
        <f>ROUND(M35/0.723358,2)</f>
        <v>8.57</v>
      </c>
    </row>
    <row r="36" spans="1:14" s="150" customFormat="1">
      <c r="A36" s="565">
        <v>7891721025334</v>
      </c>
      <c r="B36" s="583">
        <v>1008903790123</v>
      </c>
      <c r="C36" s="139">
        <v>3227900001</v>
      </c>
      <c r="D36" s="639" t="s">
        <v>715</v>
      </c>
      <c r="E36" s="531">
        <f>ROUND(G36*1.025,2)</f>
        <v>13.54</v>
      </c>
      <c r="F36" s="531">
        <f>ROUND(E36/0.723358,2)</f>
        <v>18.72</v>
      </c>
      <c r="G36" s="616">
        <v>13.207050773702012</v>
      </c>
      <c r="H36" s="605">
        <f>ROUND(G36/0.723358,2)</f>
        <v>18.260000000000002</v>
      </c>
      <c r="I36" s="531">
        <f>ROUND(G36*0.993939,2)</f>
        <v>13.13</v>
      </c>
      <c r="J36" s="531">
        <f>ROUND(I36/0.723358,2)</f>
        <v>18.149999999999999</v>
      </c>
      <c r="K36" s="616">
        <f>ROUND(G36*0.987952,2)</f>
        <v>13.05</v>
      </c>
      <c r="L36" s="605">
        <f>ROUND(K36/0.723358,2)</f>
        <v>18.04</v>
      </c>
      <c r="M36" s="531">
        <f>ROUND(G36*0.931818,2)</f>
        <v>12.31</v>
      </c>
      <c r="N36" s="605">
        <f>ROUND(M36/0.723358,2)</f>
        <v>17.02</v>
      </c>
    </row>
    <row r="37" spans="1:14" s="150" customFormat="1" ht="15">
      <c r="A37" s="553"/>
      <c r="B37" s="636" t="s">
        <v>333</v>
      </c>
      <c r="C37" s="535"/>
      <c r="D37" s="638"/>
      <c r="E37" s="536"/>
      <c r="F37" s="537"/>
      <c r="G37" s="645"/>
      <c r="H37" s="295"/>
      <c r="I37" s="536"/>
      <c r="J37" s="537"/>
      <c r="K37" s="645"/>
      <c r="L37" s="295"/>
      <c r="M37" s="536"/>
      <c r="N37" s="295"/>
    </row>
    <row r="38" spans="1:14" s="150" customFormat="1">
      <c r="A38" s="561">
        <v>7891721274206</v>
      </c>
      <c r="B38" s="583" t="s">
        <v>66</v>
      </c>
      <c r="C38" s="139" t="s">
        <v>406</v>
      </c>
      <c r="D38" s="644" t="s">
        <v>334</v>
      </c>
      <c r="E38" s="531">
        <f>ROUND(G38*1.025,2)</f>
        <v>103.68</v>
      </c>
      <c r="F38" s="531">
        <f>ROUND(E38/0.723358,2)</f>
        <v>143.33000000000001</v>
      </c>
      <c r="G38" s="616">
        <v>101.15509086021999</v>
      </c>
      <c r="H38" s="605">
        <f>ROUND(G38/0.723358,2)</f>
        <v>139.84</v>
      </c>
      <c r="I38" s="531">
        <f>ROUND(G38*0.993939,2)</f>
        <v>100.54</v>
      </c>
      <c r="J38" s="531">
        <f>ROUND(I38/0.723358,2)</f>
        <v>138.99</v>
      </c>
      <c r="K38" s="616">
        <f>ROUND(G38*0.987952,2)</f>
        <v>99.94</v>
      </c>
      <c r="L38" s="605">
        <f>ROUND(K38/0.723358,2)</f>
        <v>138.16</v>
      </c>
      <c r="M38" s="531">
        <f>ROUND(G38*0.931818,2)</f>
        <v>94.26</v>
      </c>
      <c r="N38" s="605">
        <f>ROUND(M38/0.723358,2)</f>
        <v>130.31</v>
      </c>
    </row>
    <row r="39" spans="1:14" s="150" customFormat="1" ht="15">
      <c r="A39" s="553"/>
      <c r="B39" s="715" t="s">
        <v>672</v>
      </c>
      <c r="C39" s="716"/>
      <c r="D39" s="717"/>
      <c r="E39" s="536"/>
      <c r="F39" s="537"/>
      <c r="G39" s="645"/>
      <c r="H39" s="295"/>
      <c r="I39" s="536"/>
      <c r="J39" s="537"/>
      <c r="K39" s="645"/>
      <c r="L39" s="295"/>
      <c r="M39" s="536"/>
      <c r="N39" s="295"/>
    </row>
    <row r="40" spans="1:14" s="150" customFormat="1">
      <c r="A40" s="561">
        <v>7891721200472</v>
      </c>
      <c r="B40" s="583">
        <v>1008903240042</v>
      </c>
      <c r="C40" s="139" t="s">
        <v>673</v>
      </c>
      <c r="D40" s="644" t="s">
        <v>674</v>
      </c>
      <c r="E40" s="531">
        <f>ROUND(G40*1.025,2)</f>
        <v>57.92</v>
      </c>
      <c r="F40" s="531">
        <f>ROUND(E40/0.723358,2)</f>
        <v>80.069999999999993</v>
      </c>
      <c r="G40" s="616">
        <v>56.506893133805569</v>
      </c>
      <c r="H40" s="605">
        <f>ROUND(G40/0.723358,2)</f>
        <v>78.12</v>
      </c>
      <c r="I40" s="531">
        <f>ROUND(G40*0.993939,2)</f>
        <v>56.16</v>
      </c>
      <c r="J40" s="531">
        <f>ROUND(I40/0.723358,2)</f>
        <v>77.64</v>
      </c>
      <c r="K40" s="616">
        <f>ROUND(G40*0.987952,2)</f>
        <v>55.83</v>
      </c>
      <c r="L40" s="605">
        <f>ROUND(K40/0.723358,2)</f>
        <v>77.180000000000007</v>
      </c>
      <c r="M40" s="531">
        <f>ROUND(G40*0.931818,2)</f>
        <v>52.65</v>
      </c>
      <c r="N40" s="605">
        <f>ROUND(M40/0.723358,2)</f>
        <v>72.790000000000006</v>
      </c>
    </row>
    <row r="41" spans="1:14" s="150" customFormat="1" ht="15">
      <c r="A41" s="553"/>
      <c r="B41" s="715" t="s">
        <v>335</v>
      </c>
      <c r="C41" s="716"/>
      <c r="D41" s="717"/>
      <c r="E41" s="536"/>
      <c r="F41" s="537"/>
      <c r="G41" s="645"/>
      <c r="H41" s="295"/>
      <c r="I41" s="536"/>
      <c r="J41" s="537"/>
      <c r="K41" s="645"/>
      <c r="L41" s="295"/>
      <c r="M41" s="536"/>
      <c r="N41" s="295"/>
    </row>
    <row r="42" spans="1:14" s="150" customFormat="1">
      <c r="A42" s="561">
        <v>7891721023521</v>
      </c>
      <c r="B42" s="583" t="s">
        <v>42</v>
      </c>
      <c r="C42" s="139" t="s">
        <v>552</v>
      </c>
      <c r="D42" s="639" t="s">
        <v>336</v>
      </c>
      <c r="E42" s="531">
        <f>ROUND(G42*1.025,2)</f>
        <v>53.74</v>
      </c>
      <c r="F42" s="531">
        <f>ROUND(E42/0.723358,2)</f>
        <v>74.290000000000006</v>
      </c>
      <c r="G42" s="616">
        <v>52.426008177914156</v>
      </c>
      <c r="H42" s="605">
        <f>ROUND(G42/0.723358,2)</f>
        <v>72.48</v>
      </c>
      <c r="I42" s="531">
        <f>ROUND(G42*0.993939,2)</f>
        <v>52.11</v>
      </c>
      <c r="J42" s="531">
        <f>ROUND(I42/0.723358,2)</f>
        <v>72.040000000000006</v>
      </c>
      <c r="K42" s="616">
        <f>ROUND(G42*0.987952,2)</f>
        <v>51.79</v>
      </c>
      <c r="L42" s="605">
        <f>ROUND(K42/0.723358,2)</f>
        <v>71.599999999999994</v>
      </c>
      <c r="M42" s="531">
        <f>ROUND(G42*0.931818,2)</f>
        <v>48.85</v>
      </c>
      <c r="N42" s="605">
        <f>ROUND(M42/0.723358,2)</f>
        <v>67.53</v>
      </c>
    </row>
    <row r="43" spans="1:14" s="150" customFormat="1" ht="15">
      <c r="A43" s="553"/>
      <c r="B43" s="715" t="s">
        <v>337</v>
      </c>
      <c r="C43" s="716"/>
      <c r="D43" s="717"/>
      <c r="E43" s="536"/>
      <c r="F43" s="537"/>
      <c r="G43" s="645"/>
      <c r="H43" s="295"/>
      <c r="I43" s="536"/>
      <c r="J43" s="537"/>
      <c r="K43" s="645"/>
      <c r="L43" s="295"/>
      <c r="M43" s="536"/>
      <c r="N43" s="295"/>
    </row>
    <row r="44" spans="1:14" s="150" customFormat="1">
      <c r="A44" s="561">
        <v>7891721023514</v>
      </c>
      <c r="B44" s="583" t="s">
        <v>43</v>
      </c>
      <c r="C44" s="139" t="s">
        <v>554</v>
      </c>
      <c r="D44" s="644" t="s">
        <v>338</v>
      </c>
      <c r="E44" s="531">
        <f>ROUND(G44*1.025,2)</f>
        <v>47.92</v>
      </c>
      <c r="F44" s="531">
        <f>ROUND(E44/0.723358,2)</f>
        <v>66.25</v>
      </c>
      <c r="G44" s="616">
        <v>46.753849472779805</v>
      </c>
      <c r="H44" s="605">
        <f>ROUND(G44/0.723358,2)</f>
        <v>64.63</v>
      </c>
      <c r="I44" s="531">
        <f>ROUND(G44*0.993939,2)</f>
        <v>46.47</v>
      </c>
      <c r="J44" s="531">
        <f>ROUND(I44/0.723358,2)</f>
        <v>64.239999999999995</v>
      </c>
      <c r="K44" s="616">
        <f>ROUND(G44*0.987952,2)</f>
        <v>46.19</v>
      </c>
      <c r="L44" s="605">
        <f>ROUND(K44/0.723358,2)</f>
        <v>63.85</v>
      </c>
      <c r="M44" s="531">
        <f>ROUND(G44*0.931818,2)</f>
        <v>43.57</v>
      </c>
      <c r="N44" s="605">
        <f>ROUND(M44/0.723358,2)</f>
        <v>60.23</v>
      </c>
    </row>
    <row r="45" spans="1:14" s="150" customFormat="1" ht="15">
      <c r="A45" s="553"/>
      <c r="B45" s="636" t="s">
        <v>339</v>
      </c>
      <c r="C45" s="535"/>
      <c r="D45" s="638"/>
      <c r="E45" s="536"/>
      <c r="F45" s="537"/>
      <c r="G45" s="645"/>
      <c r="H45" s="295"/>
      <c r="I45" s="536"/>
      <c r="J45" s="537"/>
      <c r="K45" s="645"/>
      <c r="L45" s="295"/>
      <c r="M45" s="536"/>
      <c r="N45" s="295"/>
    </row>
    <row r="46" spans="1:14" s="150" customFormat="1">
      <c r="A46" s="561">
        <v>7891721200663</v>
      </c>
      <c r="B46" s="583" t="s">
        <v>78</v>
      </c>
      <c r="C46" s="139" t="s">
        <v>509</v>
      </c>
      <c r="D46" s="644" t="s">
        <v>340</v>
      </c>
      <c r="E46" s="531">
        <f>ROUND(G46*1.025,2)</f>
        <v>10.95</v>
      </c>
      <c r="F46" s="531">
        <f>ROUND(E46/0.723358,2)</f>
        <v>15.14</v>
      </c>
      <c r="G46" s="616">
        <v>10.685396921854222</v>
      </c>
      <c r="H46" s="605">
        <f>ROUND(G46/0.723358,2)</f>
        <v>14.77</v>
      </c>
      <c r="I46" s="531">
        <f>ROUND(G46*0.993939,2)</f>
        <v>10.62</v>
      </c>
      <c r="J46" s="531">
        <f>ROUND(I46/0.723358,2)</f>
        <v>14.68</v>
      </c>
      <c r="K46" s="616">
        <f>ROUND(G46*0.987952,2)</f>
        <v>10.56</v>
      </c>
      <c r="L46" s="605">
        <f>ROUND(K46/0.723358,2)</f>
        <v>14.6</v>
      </c>
      <c r="M46" s="531">
        <f>ROUND(G46*0.931818,2)</f>
        <v>9.9600000000000009</v>
      </c>
      <c r="N46" s="605">
        <f>ROUND(M46/0.723358,2)</f>
        <v>13.77</v>
      </c>
    </row>
    <row r="47" spans="1:14" s="150" customFormat="1" ht="15">
      <c r="A47" s="553"/>
      <c r="B47" s="715" t="s">
        <v>341</v>
      </c>
      <c r="C47" s="716"/>
      <c r="D47" s="717"/>
      <c r="E47" s="536"/>
      <c r="F47" s="537"/>
      <c r="G47" s="645"/>
      <c r="H47" s="295"/>
      <c r="I47" s="536"/>
      <c r="J47" s="537"/>
      <c r="K47" s="645"/>
      <c r="L47" s="295"/>
      <c r="M47" s="536"/>
      <c r="N47" s="295"/>
    </row>
    <row r="48" spans="1:14" s="150" customFormat="1">
      <c r="A48" s="561">
        <v>7891721275012</v>
      </c>
      <c r="B48" s="583">
        <v>1008903370019</v>
      </c>
      <c r="C48" s="139" t="s">
        <v>510</v>
      </c>
      <c r="D48" s="644" t="s">
        <v>488</v>
      </c>
      <c r="E48" s="531">
        <f>ROUND(G48*1.025,2)</f>
        <v>79.03</v>
      </c>
      <c r="F48" s="531">
        <f>ROUND(E48/0.723358,2)</f>
        <v>109.25</v>
      </c>
      <c r="G48" s="616">
        <v>77.099186000000003</v>
      </c>
      <c r="H48" s="605">
        <v>106.58</v>
      </c>
      <c r="I48" s="531">
        <f>ROUND(G48*0.993939,2)</f>
        <v>76.63</v>
      </c>
      <c r="J48" s="531">
        <f>ROUND(I48/0.723358,2)</f>
        <v>105.94</v>
      </c>
      <c r="K48" s="616">
        <f>ROUND(G48*0.987952,2)</f>
        <v>76.17</v>
      </c>
      <c r="L48" s="605">
        <f>ROUND(K48/0.723358,2)</f>
        <v>105.3</v>
      </c>
      <c r="M48" s="531">
        <f>ROUND(G48*0.931818,2)</f>
        <v>71.84</v>
      </c>
      <c r="N48" s="605">
        <f>ROUND(M48/0.723358,2)</f>
        <v>99.31</v>
      </c>
    </row>
    <row r="49" spans="1:14" s="150" customFormat="1" ht="15">
      <c r="A49" s="553"/>
      <c r="B49" s="715" t="s">
        <v>342</v>
      </c>
      <c r="C49" s="716"/>
      <c r="D49" s="717"/>
      <c r="E49" s="536"/>
      <c r="F49" s="537"/>
      <c r="G49" s="645"/>
      <c r="H49" s="295"/>
      <c r="I49" s="536"/>
      <c r="J49" s="537"/>
      <c r="K49" s="645"/>
      <c r="L49" s="295"/>
      <c r="M49" s="536"/>
      <c r="N49" s="295"/>
    </row>
    <row r="50" spans="1:14" s="150" customFormat="1">
      <c r="A50" s="561">
        <v>7891721200014</v>
      </c>
      <c r="B50" s="583" t="s">
        <v>67</v>
      </c>
      <c r="C50" s="139" t="s">
        <v>511</v>
      </c>
      <c r="D50" s="644" t="s">
        <v>343</v>
      </c>
      <c r="E50" s="531">
        <f>ROUND(G50*1.025,2)</f>
        <v>18.899999999999999</v>
      </c>
      <c r="F50" s="531">
        <f>ROUND(E50/0.723358,2)</f>
        <v>26.13</v>
      </c>
      <c r="G50" s="616">
        <v>18.437218130585499</v>
      </c>
      <c r="H50" s="605">
        <f>ROUND(G50/0.723358,2)</f>
        <v>25.49</v>
      </c>
      <c r="I50" s="531">
        <f>ROUND(G50*0.993939,2)</f>
        <v>18.329999999999998</v>
      </c>
      <c r="J50" s="531">
        <f>ROUND(I50/0.723358,2)</f>
        <v>25.34</v>
      </c>
      <c r="K50" s="616">
        <v>18.21</v>
      </c>
      <c r="L50" s="605">
        <f>ROUND(K50/0.723358,2)</f>
        <v>25.17</v>
      </c>
      <c r="M50" s="531">
        <f>ROUND(G50*0.931818,2)</f>
        <v>17.18</v>
      </c>
      <c r="N50" s="605">
        <f>ROUND(M50/0.723358,2)</f>
        <v>23.75</v>
      </c>
    </row>
    <row r="51" spans="1:14" s="150" customFormat="1">
      <c r="A51" s="561">
        <v>7891721200045</v>
      </c>
      <c r="B51" s="583" t="s">
        <v>68</v>
      </c>
      <c r="C51" s="139" t="s">
        <v>512</v>
      </c>
      <c r="D51" s="644" t="s">
        <v>344</v>
      </c>
      <c r="E51" s="531">
        <f>ROUND(G51*1.025,2)</f>
        <v>32.83</v>
      </c>
      <c r="F51" s="531">
        <f>ROUND(E51/0.723358,2)</f>
        <v>45.39</v>
      </c>
      <c r="G51" s="616">
        <v>32.030672973649928</v>
      </c>
      <c r="H51" s="605">
        <f>ROUND(G51/0.723358,2)</f>
        <v>44.28</v>
      </c>
      <c r="I51" s="531">
        <f>ROUND(G51*0.993939,2)</f>
        <v>31.84</v>
      </c>
      <c r="J51" s="531">
        <f>ROUND(I51/0.723358,2)</f>
        <v>44.02</v>
      </c>
      <c r="K51" s="616">
        <f>ROUND(G51*0.987952,2)</f>
        <v>31.64</v>
      </c>
      <c r="L51" s="605">
        <f>ROUND(K51/0.723358,2)</f>
        <v>43.74</v>
      </c>
      <c r="M51" s="531">
        <f>ROUND(G51*0.931818,2)</f>
        <v>29.85</v>
      </c>
      <c r="N51" s="605">
        <f>ROUND(M51/0.723358,2)</f>
        <v>41.27</v>
      </c>
    </row>
    <row r="52" spans="1:14" s="150" customFormat="1">
      <c r="A52" s="561">
        <v>7891721200076</v>
      </c>
      <c r="B52" s="583" t="s">
        <v>69</v>
      </c>
      <c r="C52" s="139" t="s">
        <v>513</v>
      </c>
      <c r="D52" s="644" t="s">
        <v>345</v>
      </c>
      <c r="E52" s="531">
        <f>ROUND(G52*1.025,2)</f>
        <v>56.95</v>
      </c>
      <c r="F52" s="531">
        <f>ROUND(E52/0.723358,2)</f>
        <v>78.73</v>
      </c>
      <c r="G52" s="616">
        <v>55.558995495800119</v>
      </c>
      <c r="H52" s="605">
        <f>ROUND(G52/0.723358,2)</f>
        <v>76.81</v>
      </c>
      <c r="I52" s="531">
        <f>ROUND(G52*0.993939,2)</f>
        <v>55.22</v>
      </c>
      <c r="J52" s="531">
        <f>ROUND(I52/0.723358,2)</f>
        <v>76.34</v>
      </c>
      <c r="K52" s="616">
        <f>ROUND(G52*0.987952,2)</f>
        <v>54.89</v>
      </c>
      <c r="L52" s="605">
        <f>ROUND(K52/0.723358,2)</f>
        <v>75.88</v>
      </c>
      <c r="M52" s="531">
        <f>ROUND(G52*0.931818,2)</f>
        <v>51.77</v>
      </c>
      <c r="N52" s="605">
        <f>ROUND(M52/0.723358,2)</f>
        <v>71.569999999999993</v>
      </c>
    </row>
    <row r="53" spans="1:14" s="150" customFormat="1" ht="15">
      <c r="A53" s="553"/>
      <c r="B53" s="715" t="s">
        <v>448</v>
      </c>
      <c r="C53" s="716"/>
      <c r="D53" s="717"/>
      <c r="E53" s="536"/>
      <c r="F53" s="537"/>
      <c r="G53" s="645"/>
      <c r="H53" s="295"/>
      <c r="I53" s="536"/>
      <c r="J53" s="537"/>
      <c r="K53" s="645"/>
      <c r="L53" s="295"/>
      <c r="M53" s="536"/>
      <c r="N53" s="295"/>
    </row>
    <row r="54" spans="1:14" s="150" customFormat="1">
      <c r="A54" s="561">
        <v>7891721019791</v>
      </c>
      <c r="B54" s="583">
        <v>1008903550025</v>
      </c>
      <c r="C54" s="139" t="s">
        <v>449</v>
      </c>
      <c r="D54" s="601" t="s">
        <v>630</v>
      </c>
      <c r="E54" s="531">
        <f>G54</f>
        <v>5.8686741350525438</v>
      </c>
      <c r="F54" s="531">
        <f t="shared" ref="F54:F55" si="3">H54</f>
        <v>8.11</v>
      </c>
      <c r="G54" s="616">
        <v>5.8686741350525438</v>
      </c>
      <c r="H54" s="605">
        <f t="shared" ref="H54:H62" si="4">ROUND(G54/0.723358,2)</f>
        <v>8.11</v>
      </c>
      <c r="I54" s="531">
        <f t="shared" ref="I54:I63" si="5">ROUND(G54*0.993939,2)</f>
        <v>5.83</v>
      </c>
      <c r="J54" s="531">
        <f t="shared" ref="J54:J63" si="6">ROUND(I54/0.723358,2)</f>
        <v>8.06</v>
      </c>
      <c r="K54" s="616">
        <f t="shared" ref="K54:K63" si="7">ROUND(G54*0.987952,2)</f>
        <v>5.8</v>
      </c>
      <c r="L54" s="605">
        <f t="shared" ref="L54:L63" si="8">ROUND(K54/0.723358,2)</f>
        <v>8.02</v>
      </c>
      <c r="M54" s="531">
        <f t="shared" ref="M54:M59" si="9">ROUND(G54*0.931818,2)</f>
        <v>5.47</v>
      </c>
      <c r="N54" s="605">
        <f t="shared" ref="N54:N63" si="10">ROUND(M54/0.723358,2)</f>
        <v>7.56</v>
      </c>
    </row>
    <row r="55" spans="1:14" s="150" customFormat="1">
      <c r="A55" s="561">
        <v>7891721019845</v>
      </c>
      <c r="B55" s="583">
        <v>1008903550084</v>
      </c>
      <c r="C55" s="139" t="s">
        <v>450</v>
      </c>
      <c r="D55" s="601" t="s">
        <v>631</v>
      </c>
      <c r="E55" s="531">
        <f>G55</f>
        <v>6.50723453316707</v>
      </c>
      <c r="F55" s="531">
        <f t="shared" si="3"/>
        <v>9</v>
      </c>
      <c r="G55" s="616">
        <v>6.50723453316707</v>
      </c>
      <c r="H55" s="605">
        <f t="shared" si="4"/>
        <v>9</v>
      </c>
      <c r="I55" s="531">
        <f t="shared" si="5"/>
        <v>6.47</v>
      </c>
      <c r="J55" s="531">
        <f t="shared" si="6"/>
        <v>8.94</v>
      </c>
      <c r="K55" s="616">
        <f t="shared" si="7"/>
        <v>6.43</v>
      </c>
      <c r="L55" s="605">
        <f t="shared" si="8"/>
        <v>8.89</v>
      </c>
      <c r="M55" s="531">
        <f t="shared" si="9"/>
        <v>6.06</v>
      </c>
      <c r="N55" s="605">
        <f t="shared" si="10"/>
        <v>8.3800000000000008</v>
      </c>
    </row>
    <row r="56" spans="1:14" s="150" customFormat="1">
      <c r="A56" s="561">
        <v>7891721019890</v>
      </c>
      <c r="B56" s="583">
        <v>1008903550262</v>
      </c>
      <c r="C56" s="139" t="s">
        <v>451</v>
      </c>
      <c r="D56" s="594" t="s">
        <v>457</v>
      </c>
      <c r="E56" s="531">
        <f>ROUND(G56*1.025,2)</f>
        <v>7.28</v>
      </c>
      <c r="F56" s="531">
        <f>ROUND(E56/0.723358,2)</f>
        <v>10.06</v>
      </c>
      <c r="G56" s="616">
        <v>7.1052514139409899</v>
      </c>
      <c r="H56" s="605">
        <f t="shared" si="4"/>
        <v>9.82</v>
      </c>
      <c r="I56" s="531">
        <f t="shared" si="5"/>
        <v>7.06</v>
      </c>
      <c r="J56" s="531">
        <f t="shared" si="6"/>
        <v>9.76</v>
      </c>
      <c r="K56" s="616">
        <f t="shared" si="7"/>
        <v>7.02</v>
      </c>
      <c r="L56" s="605">
        <f t="shared" si="8"/>
        <v>9.6999999999999993</v>
      </c>
      <c r="M56" s="531">
        <f t="shared" si="9"/>
        <v>6.62</v>
      </c>
      <c r="N56" s="605">
        <f t="shared" si="10"/>
        <v>9.15</v>
      </c>
    </row>
    <row r="57" spans="1:14" s="150" customFormat="1">
      <c r="A57" s="561">
        <v>7891721019944</v>
      </c>
      <c r="B57" s="583">
        <v>1008903550467</v>
      </c>
      <c r="C57" s="139" t="s">
        <v>464</v>
      </c>
      <c r="D57" s="594" t="s">
        <v>462</v>
      </c>
      <c r="E57" s="531">
        <f>ROUND(G57*1.025,2)</f>
        <v>8.77</v>
      </c>
      <c r="F57" s="531">
        <f>ROUND(E57/0.723358,2)</f>
        <v>12.12</v>
      </c>
      <c r="G57" s="616">
        <v>8.5546821588676121</v>
      </c>
      <c r="H57" s="605">
        <f t="shared" si="4"/>
        <v>11.83</v>
      </c>
      <c r="I57" s="531">
        <f t="shared" si="5"/>
        <v>8.5</v>
      </c>
      <c r="J57" s="531">
        <f t="shared" si="6"/>
        <v>11.75</v>
      </c>
      <c r="K57" s="616">
        <f t="shared" si="7"/>
        <v>8.4499999999999993</v>
      </c>
      <c r="L57" s="605">
        <f t="shared" si="8"/>
        <v>11.68</v>
      </c>
      <c r="M57" s="531">
        <f t="shared" si="9"/>
        <v>7.97</v>
      </c>
      <c r="N57" s="605">
        <f t="shared" si="10"/>
        <v>11.02</v>
      </c>
    </row>
    <row r="58" spans="1:14" s="150" customFormat="1">
      <c r="A58" s="561">
        <v>7891721019999</v>
      </c>
      <c r="B58" s="583">
        <v>1008903550130</v>
      </c>
      <c r="C58" s="139" t="s">
        <v>452</v>
      </c>
      <c r="D58" s="594" t="s">
        <v>755</v>
      </c>
      <c r="E58" s="531">
        <f>G58</f>
        <v>5.5341901169925549</v>
      </c>
      <c r="F58" s="531">
        <f>H58</f>
        <v>7.65</v>
      </c>
      <c r="G58" s="616">
        <v>5.5341901169925549</v>
      </c>
      <c r="H58" s="605">
        <f t="shared" si="4"/>
        <v>7.65</v>
      </c>
      <c r="I58" s="531">
        <f t="shared" si="5"/>
        <v>5.5</v>
      </c>
      <c r="J58" s="531">
        <f t="shared" si="6"/>
        <v>7.6</v>
      </c>
      <c r="K58" s="616">
        <f t="shared" si="7"/>
        <v>5.47</v>
      </c>
      <c r="L58" s="605">
        <f t="shared" si="8"/>
        <v>7.56</v>
      </c>
      <c r="M58" s="531">
        <f t="shared" si="9"/>
        <v>5.16</v>
      </c>
      <c r="N58" s="605">
        <f t="shared" si="10"/>
        <v>7.13</v>
      </c>
    </row>
    <row r="59" spans="1:14" s="150" customFormat="1">
      <c r="A59" s="561">
        <v>7891721020049</v>
      </c>
      <c r="B59" s="583">
        <v>1008903550033</v>
      </c>
      <c r="C59" s="139" t="s">
        <v>465</v>
      </c>
      <c r="D59" s="594" t="s">
        <v>463</v>
      </c>
      <c r="E59" s="531">
        <f>ROUND(G59*1.025,2)</f>
        <v>11.16</v>
      </c>
      <c r="F59" s="531">
        <f>ROUND(E59/0.723358,2)</f>
        <v>15.43</v>
      </c>
      <c r="G59" s="616">
        <v>10.885934405952387</v>
      </c>
      <c r="H59" s="605">
        <f t="shared" si="4"/>
        <v>15.05</v>
      </c>
      <c r="I59" s="531">
        <f t="shared" si="5"/>
        <v>10.82</v>
      </c>
      <c r="J59" s="531">
        <f t="shared" si="6"/>
        <v>14.96</v>
      </c>
      <c r="K59" s="616">
        <f t="shared" si="7"/>
        <v>10.75</v>
      </c>
      <c r="L59" s="605">
        <f t="shared" si="8"/>
        <v>14.86</v>
      </c>
      <c r="M59" s="531">
        <f t="shared" si="9"/>
        <v>10.14</v>
      </c>
      <c r="N59" s="605">
        <f t="shared" si="10"/>
        <v>14.02</v>
      </c>
    </row>
    <row r="60" spans="1:14" s="150" customFormat="1">
      <c r="A60" s="561">
        <v>7891721020094</v>
      </c>
      <c r="B60" s="583">
        <v>1008903550319</v>
      </c>
      <c r="C60" s="139" t="s">
        <v>453</v>
      </c>
      <c r="D60" s="594" t="s">
        <v>458</v>
      </c>
      <c r="E60" s="531">
        <f>ROUND(G60*1.025,2)</f>
        <v>8.32</v>
      </c>
      <c r="F60" s="531">
        <f>ROUND(E60/0.723358,2)</f>
        <v>11.5</v>
      </c>
      <c r="G60" s="616">
        <v>8.1188393474561096</v>
      </c>
      <c r="H60" s="605">
        <f t="shared" si="4"/>
        <v>11.22</v>
      </c>
      <c r="I60" s="531">
        <f t="shared" si="5"/>
        <v>8.07</v>
      </c>
      <c r="J60" s="531">
        <f t="shared" si="6"/>
        <v>11.16</v>
      </c>
      <c r="K60" s="616">
        <f t="shared" si="7"/>
        <v>8.02</v>
      </c>
      <c r="L60" s="605">
        <f t="shared" si="8"/>
        <v>11.09</v>
      </c>
      <c r="M60" s="531">
        <v>7.56</v>
      </c>
      <c r="N60" s="605">
        <f t="shared" si="10"/>
        <v>10.45</v>
      </c>
    </row>
    <row r="61" spans="1:14" s="150" customFormat="1">
      <c r="A61" s="561">
        <v>7891721020148</v>
      </c>
      <c r="B61" s="583">
        <v>1008903550191</v>
      </c>
      <c r="C61" s="139" t="s">
        <v>454</v>
      </c>
      <c r="D61" s="601" t="s">
        <v>643</v>
      </c>
      <c r="E61" s="531">
        <f>ROUND(G61*1.025,2)</f>
        <v>8.9700000000000006</v>
      </c>
      <c r="F61" s="531">
        <f>ROUND(E61/0.723358,2)</f>
        <v>12.4</v>
      </c>
      <c r="G61" s="616">
        <v>8.7472638662354854</v>
      </c>
      <c r="H61" s="605">
        <f t="shared" si="4"/>
        <v>12.09</v>
      </c>
      <c r="I61" s="531">
        <f t="shared" si="5"/>
        <v>8.69</v>
      </c>
      <c r="J61" s="531">
        <f t="shared" si="6"/>
        <v>12.01</v>
      </c>
      <c r="K61" s="616">
        <f t="shared" si="7"/>
        <v>8.64</v>
      </c>
      <c r="L61" s="605">
        <f t="shared" si="8"/>
        <v>11.94</v>
      </c>
      <c r="M61" s="531">
        <f>ROUND(G61*0.931818,2)</f>
        <v>8.15</v>
      </c>
      <c r="N61" s="605">
        <f t="shared" si="10"/>
        <v>11.27</v>
      </c>
    </row>
    <row r="62" spans="1:14" s="150" customFormat="1">
      <c r="A62" s="561">
        <v>7891721020193</v>
      </c>
      <c r="B62" s="583">
        <v>1008903550361</v>
      </c>
      <c r="C62" s="139" t="s">
        <v>455</v>
      </c>
      <c r="D62" s="594" t="s">
        <v>459</v>
      </c>
      <c r="E62" s="531">
        <f>ROUND(G62*1.025,2)</f>
        <v>11.31</v>
      </c>
      <c r="F62" s="531">
        <f>ROUND(E62/0.723358,2)</f>
        <v>15.64</v>
      </c>
      <c r="G62" s="616">
        <v>11.037972595979657</v>
      </c>
      <c r="H62" s="605">
        <f t="shared" si="4"/>
        <v>15.26</v>
      </c>
      <c r="I62" s="531">
        <f t="shared" si="5"/>
        <v>10.97</v>
      </c>
      <c r="J62" s="531">
        <f t="shared" si="6"/>
        <v>15.17</v>
      </c>
      <c r="K62" s="616">
        <f t="shared" si="7"/>
        <v>10.9</v>
      </c>
      <c r="L62" s="605">
        <f t="shared" si="8"/>
        <v>15.07</v>
      </c>
      <c r="M62" s="531">
        <v>10.28</v>
      </c>
      <c r="N62" s="605">
        <f t="shared" si="10"/>
        <v>14.21</v>
      </c>
    </row>
    <row r="63" spans="1:14" s="150" customFormat="1">
      <c r="A63" s="561">
        <v>7891721020247</v>
      </c>
      <c r="B63" s="583">
        <v>1008903550556</v>
      </c>
      <c r="C63" s="139" t="s">
        <v>456</v>
      </c>
      <c r="D63" s="594" t="s">
        <v>460</v>
      </c>
      <c r="E63" s="531">
        <f>ROUND(G63*1.025,2)</f>
        <v>19.559999999999999</v>
      </c>
      <c r="F63" s="531">
        <f>ROUND(E63/0.723358,2)</f>
        <v>27.04</v>
      </c>
      <c r="G63" s="616">
        <v>19.085860788089704</v>
      </c>
      <c r="H63" s="605">
        <v>26.38</v>
      </c>
      <c r="I63" s="531">
        <f t="shared" si="5"/>
        <v>18.97</v>
      </c>
      <c r="J63" s="531">
        <f t="shared" si="6"/>
        <v>26.22</v>
      </c>
      <c r="K63" s="616">
        <f t="shared" si="7"/>
        <v>18.86</v>
      </c>
      <c r="L63" s="605">
        <f t="shared" si="8"/>
        <v>26.07</v>
      </c>
      <c r="M63" s="531">
        <f>ROUND(G63*0.931818,2)</f>
        <v>17.78</v>
      </c>
      <c r="N63" s="605">
        <f t="shared" si="10"/>
        <v>24.58</v>
      </c>
    </row>
    <row r="64" spans="1:14" s="150" customFormat="1" ht="15">
      <c r="A64" s="553"/>
      <c r="B64" s="715" t="s">
        <v>346</v>
      </c>
      <c r="C64" s="716"/>
      <c r="D64" s="717"/>
      <c r="E64" s="540"/>
      <c r="F64" s="541"/>
      <c r="G64" s="647"/>
      <c r="H64" s="307"/>
      <c r="I64" s="540"/>
      <c r="J64" s="541"/>
      <c r="K64" s="647"/>
      <c r="L64" s="307"/>
      <c r="M64" s="540"/>
      <c r="N64" s="307"/>
    </row>
    <row r="65" spans="1:14" s="150" customFormat="1">
      <c r="A65" s="565">
        <v>7891721238567</v>
      </c>
      <c r="B65" s="583" t="s">
        <v>63</v>
      </c>
      <c r="C65" s="139" t="s">
        <v>514</v>
      </c>
      <c r="D65" s="644" t="s">
        <v>700</v>
      </c>
      <c r="E65" s="531">
        <f>G65</f>
        <v>30.128628967894851</v>
      </c>
      <c r="F65" s="531">
        <f>H65</f>
        <v>41.65</v>
      </c>
      <c r="G65" s="616">
        <v>30.128628967894851</v>
      </c>
      <c r="H65" s="605">
        <v>41.65</v>
      </c>
      <c r="I65" s="531">
        <f>ROUND(G65*0.993939,2)</f>
        <v>29.95</v>
      </c>
      <c r="J65" s="531">
        <f>ROUND(I65/0.723358,2)</f>
        <v>41.4</v>
      </c>
      <c r="K65" s="616">
        <f>ROUND(G65*0.987952,2)</f>
        <v>29.77</v>
      </c>
      <c r="L65" s="605">
        <f>ROUND(K65/0.723358,2)</f>
        <v>41.16</v>
      </c>
      <c r="M65" s="531">
        <f>ROUND(G65*0.931818,2)</f>
        <v>28.07</v>
      </c>
      <c r="N65" s="605">
        <f t="shared" ref="N65:N94" si="11">ROUND(M65/0.723358,2)</f>
        <v>38.81</v>
      </c>
    </row>
    <row r="66" spans="1:14" s="150" customFormat="1" ht="15">
      <c r="A66" s="553"/>
      <c r="B66" s="715" t="s">
        <v>347</v>
      </c>
      <c r="C66" s="716"/>
      <c r="D66" s="717"/>
      <c r="E66" s="536"/>
      <c r="F66" s="537"/>
      <c r="G66" s="645"/>
      <c r="H66" s="295"/>
      <c r="I66" s="536"/>
      <c r="J66" s="537"/>
      <c r="K66" s="645"/>
      <c r="L66" s="295"/>
      <c r="M66" s="536"/>
      <c r="N66" s="295"/>
    </row>
    <row r="67" spans="1:14" s="150" customFormat="1">
      <c r="A67" s="554">
        <v>7891721238079</v>
      </c>
      <c r="B67" s="583" t="s">
        <v>59</v>
      </c>
      <c r="C67" s="93" t="s">
        <v>515</v>
      </c>
      <c r="D67" s="641" t="s">
        <v>348</v>
      </c>
      <c r="E67" s="530">
        <f>ROUND(G67*1.025,2)</f>
        <v>14.36</v>
      </c>
      <c r="F67" s="530">
        <f>ROUND(E67/0.723358,2)</f>
        <v>19.850000000000001</v>
      </c>
      <c r="G67" s="615">
        <v>14.006250671097153</v>
      </c>
      <c r="H67" s="604">
        <f>ROUND(G67/0.723358,2)</f>
        <v>19.36</v>
      </c>
      <c r="I67" s="530">
        <f>ROUND(G67*0.993939,2)</f>
        <v>13.92</v>
      </c>
      <c r="J67" s="530">
        <f>ROUND(I67/0.723358,2)</f>
        <v>19.239999999999998</v>
      </c>
      <c r="K67" s="615">
        <f>ROUND(G67*0.987952,2)</f>
        <v>13.84</v>
      </c>
      <c r="L67" s="604">
        <f>ROUND(K67/0.723358,2)</f>
        <v>19.13</v>
      </c>
      <c r="M67" s="530">
        <f>ROUND(G67*0.931818,2)</f>
        <v>13.05</v>
      </c>
      <c r="N67" s="604">
        <f t="shared" si="11"/>
        <v>18.04</v>
      </c>
    </row>
    <row r="68" spans="1:14" s="150" customFormat="1">
      <c r="A68" s="227">
        <v>7891721238086</v>
      </c>
      <c r="B68" s="583" t="s">
        <v>58</v>
      </c>
      <c r="C68" s="93" t="s">
        <v>516</v>
      </c>
      <c r="D68" s="641" t="s">
        <v>349</v>
      </c>
      <c r="E68" s="530">
        <f>ROUND(G68*1.025,2)</f>
        <v>26.9</v>
      </c>
      <c r="F68" s="530">
        <f>ROUND(E68/0.723358,2)</f>
        <v>37.19</v>
      </c>
      <c r="G68" s="615">
        <v>26.242077734553753</v>
      </c>
      <c r="H68" s="604">
        <f>ROUND(G68/0.723358,2)</f>
        <v>36.28</v>
      </c>
      <c r="I68" s="530">
        <f>ROUND(G68*0.993939,2)</f>
        <v>26.08</v>
      </c>
      <c r="J68" s="530">
        <f>ROUND(I68/0.723358,2)</f>
        <v>36.049999999999997</v>
      </c>
      <c r="K68" s="615">
        <f>ROUND(G68*0.987952,2)</f>
        <v>25.93</v>
      </c>
      <c r="L68" s="604">
        <f>ROUND(K68/0.723358,2)</f>
        <v>35.85</v>
      </c>
      <c r="M68" s="530">
        <f>ROUND(G68*0.931818,2)</f>
        <v>24.45</v>
      </c>
      <c r="N68" s="604">
        <f t="shared" si="11"/>
        <v>33.799999999999997</v>
      </c>
    </row>
    <row r="69" spans="1:14" s="150" customFormat="1" ht="15">
      <c r="A69" s="553"/>
      <c r="B69" s="715" t="s">
        <v>350</v>
      </c>
      <c r="C69" s="716"/>
      <c r="D69" s="717"/>
      <c r="E69" s="536"/>
      <c r="F69" s="537"/>
      <c r="G69" s="645"/>
      <c r="H69" s="295"/>
      <c r="I69" s="536"/>
      <c r="J69" s="537"/>
      <c r="K69" s="645"/>
      <c r="L69" s="295"/>
      <c r="M69" s="536"/>
      <c r="N69" s="295"/>
    </row>
    <row r="70" spans="1:14" s="150" customFormat="1">
      <c r="A70" s="565">
        <v>7891721023491</v>
      </c>
      <c r="B70" s="583" t="s">
        <v>60</v>
      </c>
      <c r="C70" s="139" t="s">
        <v>530</v>
      </c>
      <c r="D70" s="644" t="s">
        <v>351</v>
      </c>
      <c r="E70" s="531">
        <f>ROUND(G70*1.025,2)</f>
        <v>33.21</v>
      </c>
      <c r="F70" s="531">
        <f>ROUND(E70/0.723358,2)</f>
        <v>45.91</v>
      </c>
      <c r="G70" s="616">
        <v>32.401684629715376</v>
      </c>
      <c r="H70" s="605">
        <f>ROUND(G70/0.723358,2)</f>
        <v>44.79</v>
      </c>
      <c r="I70" s="531">
        <v>32.200000000000003</v>
      </c>
      <c r="J70" s="531">
        <f>ROUND(I70/0.723358,2)</f>
        <v>44.51</v>
      </c>
      <c r="K70" s="616">
        <f>ROUND(G70*0.987952,2)</f>
        <v>32.01</v>
      </c>
      <c r="L70" s="605">
        <f>ROUND(K70/0.723358,2)</f>
        <v>44.25</v>
      </c>
      <c r="M70" s="531">
        <f>ROUND(G70*0.931818,2)</f>
        <v>30.19</v>
      </c>
      <c r="N70" s="605">
        <f t="shared" ref="N70:N71" si="12">ROUND(M70/0.723358,2)</f>
        <v>41.74</v>
      </c>
    </row>
    <row r="71" spans="1:14" s="150" customFormat="1">
      <c r="A71" s="227">
        <v>7891721023507</v>
      </c>
      <c r="B71" s="583" t="s">
        <v>61</v>
      </c>
      <c r="C71" s="93" t="s">
        <v>551</v>
      </c>
      <c r="D71" s="641" t="s">
        <v>352</v>
      </c>
      <c r="E71" s="530">
        <f>ROUND(G71*1.025,2)</f>
        <v>90.64</v>
      </c>
      <c r="F71" s="530">
        <f>ROUND(E71/0.723358,2)</f>
        <v>125.3</v>
      </c>
      <c r="G71" s="615">
        <v>88.424444695597288</v>
      </c>
      <c r="H71" s="604">
        <f>ROUND(G71/0.723358,2)</f>
        <v>122.24</v>
      </c>
      <c r="I71" s="530">
        <f>ROUND(G71*0.993939,2)</f>
        <v>87.89</v>
      </c>
      <c r="J71" s="530">
        <f>ROUND(I71/0.723358,2)</f>
        <v>121.5</v>
      </c>
      <c r="K71" s="615">
        <f>ROUND(G71*0.987952,2)</f>
        <v>87.36</v>
      </c>
      <c r="L71" s="604">
        <f>ROUND(K71/0.723358,2)</f>
        <v>120.77</v>
      </c>
      <c r="M71" s="530">
        <f>ROUND(G71*0.931818,2)</f>
        <v>82.4</v>
      </c>
      <c r="N71" s="604">
        <f t="shared" si="12"/>
        <v>113.91</v>
      </c>
    </row>
    <row r="72" spans="1:14" s="150" customFormat="1" ht="15">
      <c r="A72" s="553"/>
      <c r="B72" s="715" t="s">
        <v>365</v>
      </c>
      <c r="C72" s="716"/>
      <c r="D72" s="717"/>
      <c r="E72" s="536"/>
      <c r="F72" s="537"/>
      <c r="G72" s="645"/>
      <c r="H72" s="295"/>
      <c r="I72" s="536"/>
      <c r="J72" s="537"/>
      <c r="K72" s="645"/>
      <c r="L72" s="295"/>
      <c r="M72" s="536"/>
      <c r="N72" s="295"/>
    </row>
    <row r="73" spans="1:14" s="150" customFormat="1">
      <c r="A73" s="561">
        <v>7891721200137</v>
      </c>
      <c r="B73" s="583" t="s">
        <v>75</v>
      </c>
      <c r="C73" s="139" t="s">
        <v>517</v>
      </c>
      <c r="D73" s="644" t="s">
        <v>374</v>
      </c>
      <c r="E73" s="531">
        <f t="shared" ref="E73:E78" si="13">ROUND(G73*1.025,2)</f>
        <v>13.16</v>
      </c>
      <c r="F73" s="531">
        <f t="shared" ref="F73:F78" si="14">ROUND(E73/0.723358,2)</f>
        <v>18.190000000000001</v>
      </c>
      <c r="G73" s="616">
        <v>12.84342806489537</v>
      </c>
      <c r="H73" s="605">
        <v>17.75</v>
      </c>
      <c r="I73" s="531">
        <f t="shared" ref="I73:I78" si="15">ROUND(G73*0.993939,2)</f>
        <v>12.77</v>
      </c>
      <c r="J73" s="531">
        <f t="shared" ref="J73:J78" si="16">ROUND(I73/0.723358,2)</f>
        <v>17.649999999999999</v>
      </c>
      <c r="K73" s="616">
        <f t="shared" ref="K73:K78" si="17">ROUND(G73*0.987952,2)</f>
        <v>12.69</v>
      </c>
      <c r="L73" s="605">
        <f t="shared" ref="L73:L78" si="18">ROUND(K73/0.723358,2)</f>
        <v>17.54</v>
      </c>
      <c r="M73" s="531">
        <f t="shared" ref="M73:M78" si="19">ROUND(G73*0.931818,2)</f>
        <v>11.97</v>
      </c>
      <c r="N73" s="605">
        <f t="shared" si="11"/>
        <v>16.55</v>
      </c>
    </row>
    <row r="74" spans="1:14" s="150" customFormat="1">
      <c r="A74" s="227">
        <v>7891721200144</v>
      </c>
      <c r="B74" s="583" t="s">
        <v>73</v>
      </c>
      <c r="C74" s="93" t="s">
        <v>518</v>
      </c>
      <c r="D74" s="641" t="s">
        <v>366</v>
      </c>
      <c r="E74" s="530">
        <f t="shared" si="13"/>
        <v>27.17</v>
      </c>
      <c r="F74" s="530">
        <f t="shared" si="14"/>
        <v>37.56</v>
      </c>
      <c r="G74" s="615">
        <v>26.503974717932536</v>
      </c>
      <c r="H74" s="604">
        <f>ROUND(G74/0.723358,2)</f>
        <v>36.64</v>
      </c>
      <c r="I74" s="530">
        <f t="shared" si="15"/>
        <v>26.34</v>
      </c>
      <c r="J74" s="530">
        <f t="shared" si="16"/>
        <v>36.409999999999997</v>
      </c>
      <c r="K74" s="615">
        <f t="shared" si="17"/>
        <v>26.18</v>
      </c>
      <c r="L74" s="604">
        <f t="shared" si="18"/>
        <v>36.19</v>
      </c>
      <c r="M74" s="530">
        <f t="shared" si="19"/>
        <v>24.7</v>
      </c>
      <c r="N74" s="604">
        <f t="shared" si="11"/>
        <v>34.15</v>
      </c>
    </row>
    <row r="75" spans="1:14" s="150" customFormat="1">
      <c r="A75" s="227">
        <v>7891721200151</v>
      </c>
      <c r="B75" s="583" t="s">
        <v>70</v>
      </c>
      <c r="C75" s="93" t="s">
        <v>519</v>
      </c>
      <c r="D75" s="641" t="s">
        <v>367</v>
      </c>
      <c r="E75" s="530">
        <f t="shared" si="13"/>
        <v>51.24</v>
      </c>
      <c r="F75" s="530">
        <f t="shared" si="14"/>
        <v>70.84</v>
      </c>
      <c r="G75" s="615">
        <v>49.990896187341519</v>
      </c>
      <c r="H75" s="604">
        <f>ROUND(G75/0.723358,2)</f>
        <v>69.11</v>
      </c>
      <c r="I75" s="530">
        <f t="shared" si="15"/>
        <v>49.69</v>
      </c>
      <c r="J75" s="530">
        <f t="shared" si="16"/>
        <v>68.69</v>
      </c>
      <c r="K75" s="615">
        <f t="shared" si="17"/>
        <v>49.39</v>
      </c>
      <c r="L75" s="604">
        <f t="shared" si="18"/>
        <v>68.28</v>
      </c>
      <c r="M75" s="530">
        <f t="shared" si="19"/>
        <v>46.58</v>
      </c>
      <c r="N75" s="604">
        <f t="shared" si="11"/>
        <v>64.39</v>
      </c>
    </row>
    <row r="76" spans="1:14" s="150" customFormat="1">
      <c r="A76" s="227">
        <v>7891721200168</v>
      </c>
      <c r="B76" s="583" t="s">
        <v>74</v>
      </c>
      <c r="C76" s="93" t="s">
        <v>520</v>
      </c>
      <c r="D76" s="641" t="s">
        <v>375</v>
      </c>
      <c r="E76" s="530">
        <f t="shared" si="13"/>
        <v>23.38</v>
      </c>
      <c r="F76" s="530">
        <f t="shared" si="14"/>
        <v>32.32</v>
      </c>
      <c r="G76" s="615">
        <v>22.80598931262416</v>
      </c>
      <c r="H76" s="604">
        <f>ROUND(G76/0.723358,2)</f>
        <v>31.53</v>
      </c>
      <c r="I76" s="530">
        <f t="shared" si="15"/>
        <v>22.67</v>
      </c>
      <c r="J76" s="530">
        <f t="shared" si="16"/>
        <v>31.34</v>
      </c>
      <c r="K76" s="615">
        <f t="shared" si="17"/>
        <v>22.53</v>
      </c>
      <c r="L76" s="604">
        <f t="shared" si="18"/>
        <v>31.15</v>
      </c>
      <c r="M76" s="530">
        <f t="shared" si="19"/>
        <v>21.25</v>
      </c>
      <c r="N76" s="604">
        <f t="shared" si="11"/>
        <v>29.38</v>
      </c>
    </row>
    <row r="77" spans="1:14" s="150" customFormat="1">
      <c r="A77" s="227">
        <v>7891721200175</v>
      </c>
      <c r="B77" s="583" t="s">
        <v>71</v>
      </c>
      <c r="C77" s="93" t="s">
        <v>521</v>
      </c>
      <c r="D77" s="641" t="s">
        <v>368</v>
      </c>
      <c r="E77" s="530">
        <f t="shared" si="13"/>
        <v>48.38</v>
      </c>
      <c r="F77" s="530">
        <f t="shared" si="14"/>
        <v>66.88</v>
      </c>
      <c r="G77" s="615">
        <v>47.204312284191303</v>
      </c>
      <c r="H77" s="604">
        <f>ROUND(G77/0.723358,2)</f>
        <v>65.260000000000005</v>
      </c>
      <c r="I77" s="530">
        <f t="shared" si="15"/>
        <v>46.92</v>
      </c>
      <c r="J77" s="530">
        <f t="shared" si="16"/>
        <v>64.86</v>
      </c>
      <c r="K77" s="615">
        <f t="shared" si="17"/>
        <v>46.64</v>
      </c>
      <c r="L77" s="604">
        <f t="shared" si="18"/>
        <v>64.48</v>
      </c>
      <c r="M77" s="530">
        <f t="shared" si="19"/>
        <v>43.99</v>
      </c>
      <c r="N77" s="604">
        <f t="shared" si="11"/>
        <v>60.81</v>
      </c>
    </row>
    <row r="78" spans="1:14" s="150" customFormat="1">
      <c r="A78" s="227">
        <v>7891721200182</v>
      </c>
      <c r="B78" s="583" t="s">
        <v>72</v>
      </c>
      <c r="C78" s="93" t="s">
        <v>522</v>
      </c>
      <c r="D78" s="641" t="s">
        <v>369</v>
      </c>
      <c r="E78" s="530">
        <f t="shared" si="13"/>
        <v>90.32</v>
      </c>
      <c r="F78" s="530">
        <f t="shared" si="14"/>
        <v>124.86</v>
      </c>
      <c r="G78" s="615">
        <v>88.11262108795674</v>
      </c>
      <c r="H78" s="604">
        <f>ROUND(G78/0.723358,2)</f>
        <v>121.81</v>
      </c>
      <c r="I78" s="530">
        <f t="shared" si="15"/>
        <v>87.58</v>
      </c>
      <c r="J78" s="530">
        <f t="shared" si="16"/>
        <v>121.07</v>
      </c>
      <c r="K78" s="615">
        <f t="shared" si="17"/>
        <v>87.05</v>
      </c>
      <c r="L78" s="604">
        <f t="shared" si="18"/>
        <v>120.34</v>
      </c>
      <c r="M78" s="530">
        <f t="shared" si="19"/>
        <v>82.1</v>
      </c>
      <c r="N78" s="604">
        <f t="shared" si="11"/>
        <v>113.5</v>
      </c>
    </row>
    <row r="79" spans="1:14" s="150" customFormat="1" ht="15">
      <c r="A79" s="553"/>
      <c r="B79" s="715" t="s">
        <v>598</v>
      </c>
      <c r="C79" s="716"/>
      <c r="D79" s="717"/>
      <c r="E79" s="536"/>
      <c r="F79" s="537"/>
      <c r="G79" s="645"/>
      <c r="H79" s="295"/>
      <c r="I79" s="536"/>
      <c r="J79" s="537"/>
      <c r="K79" s="645"/>
      <c r="L79" s="295"/>
      <c r="M79" s="536"/>
      <c r="N79" s="295"/>
    </row>
    <row r="80" spans="1:14" s="150" customFormat="1">
      <c r="A80" s="227">
        <v>7891721019739</v>
      </c>
      <c r="B80" s="583">
        <v>1008903620041</v>
      </c>
      <c r="C80" s="93" t="s">
        <v>599</v>
      </c>
      <c r="D80" s="640" t="s">
        <v>632</v>
      </c>
      <c r="E80" s="530">
        <f>G80</f>
        <v>39.148361075460031</v>
      </c>
      <c r="F80" s="530">
        <f t="shared" ref="F80:F82" si="20">H80</f>
        <v>54.12</v>
      </c>
      <c r="G80" s="615">
        <v>39.148361075460031</v>
      </c>
      <c r="H80" s="604">
        <f>ROUND(G80/0.723358,2)</f>
        <v>54.12</v>
      </c>
      <c r="I80" s="530">
        <f>ROUND(G80*0.993939,2)</f>
        <v>38.909999999999997</v>
      </c>
      <c r="J80" s="530">
        <f>ROUND(I80/0.723358,2)</f>
        <v>53.79</v>
      </c>
      <c r="K80" s="615">
        <f>ROUND(G80*0.987952,2)</f>
        <v>38.68</v>
      </c>
      <c r="L80" s="604">
        <f>ROUND(K80/0.723358,2)</f>
        <v>53.47</v>
      </c>
      <c r="M80" s="530">
        <f>ROUND(G80*0.931818,2)</f>
        <v>36.479999999999997</v>
      </c>
      <c r="N80" s="604">
        <f t="shared" si="11"/>
        <v>50.43</v>
      </c>
    </row>
    <row r="81" spans="1:14" s="150" customFormat="1">
      <c r="A81" s="227">
        <v>7891721019753</v>
      </c>
      <c r="B81" s="583">
        <v>1008903620031</v>
      </c>
      <c r="C81" s="93" t="s">
        <v>600</v>
      </c>
      <c r="D81" s="641" t="s">
        <v>633</v>
      </c>
      <c r="E81" s="530">
        <f>G81</f>
        <v>57.847805688704923</v>
      </c>
      <c r="F81" s="530">
        <f t="shared" si="20"/>
        <v>79.97</v>
      </c>
      <c r="G81" s="615">
        <v>57.847805688704923</v>
      </c>
      <c r="H81" s="604">
        <f>ROUND(G81/0.723358,2)</f>
        <v>79.97</v>
      </c>
      <c r="I81" s="530">
        <f>ROUND(G81*0.993939,2)</f>
        <v>57.5</v>
      </c>
      <c r="J81" s="530">
        <f>ROUND(I81/0.723358,2)</f>
        <v>79.489999999999995</v>
      </c>
      <c r="K81" s="615">
        <f>ROUND(G81*0.987952,2)</f>
        <v>57.15</v>
      </c>
      <c r="L81" s="604">
        <f>ROUND(K81/0.723358,2)</f>
        <v>79.010000000000005</v>
      </c>
      <c r="M81" s="530">
        <f>ROUND(G81*0.931818,2)</f>
        <v>53.9</v>
      </c>
      <c r="N81" s="604">
        <f t="shared" si="11"/>
        <v>74.510000000000005</v>
      </c>
    </row>
    <row r="82" spans="1:14" s="150" customFormat="1">
      <c r="A82" s="227">
        <v>7891721019777</v>
      </c>
      <c r="B82" s="583">
        <v>1008903620066</v>
      </c>
      <c r="C82" s="93" t="s">
        <v>601</v>
      </c>
      <c r="D82" s="640" t="s">
        <v>634</v>
      </c>
      <c r="E82" s="530">
        <f>G82</f>
        <v>115.69561137740985</v>
      </c>
      <c r="F82" s="530">
        <f t="shared" si="20"/>
        <v>159.94</v>
      </c>
      <c r="G82" s="615">
        <v>115.69561137740985</v>
      </c>
      <c r="H82" s="604">
        <f>ROUND(G82/0.723358,2)</f>
        <v>159.94</v>
      </c>
      <c r="I82" s="530">
        <f>ROUND(G82*0.993939,2)</f>
        <v>114.99</v>
      </c>
      <c r="J82" s="530">
        <f>ROUND(I82/0.723358,2)</f>
        <v>158.97</v>
      </c>
      <c r="K82" s="615">
        <f>ROUND(G82*0.987952,2)</f>
        <v>114.3</v>
      </c>
      <c r="L82" s="604">
        <f>ROUND(K82/0.723358,2)</f>
        <v>158.01</v>
      </c>
      <c r="M82" s="530">
        <f>ROUND(G82*0.931818,2)</f>
        <v>107.81</v>
      </c>
      <c r="N82" s="604">
        <f t="shared" si="11"/>
        <v>149.04</v>
      </c>
    </row>
    <row r="83" spans="1:14" s="150" customFormat="1" ht="15">
      <c r="A83" s="553"/>
      <c r="B83" s="715" t="s">
        <v>728</v>
      </c>
      <c r="C83" s="716"/>
      <c r="D83" s="717"/>
      <c r="E83" s="536"/>
      <c r="F83" s="537"/>
      <c r="G83" s="645"/>
      <c r="H83" s="295"/>
      <c r="I83" s="536"/>
      <c r="J83" s="537"/>
      <c r="K83" s="645"/>
      <c r="L83" s="295"/>
      <c r="M83" s="536"/>
      <c r="N83" s="295"/>
    </row>
    <row r="84" spans="1:14" s="150" customFormat="1">
      <c r="A84" s="554">
        <v>7891721028113</v>
      </c>
      <c r="B84" s="583">
        <v>1008903830028</v>
      </c>
      <c r="C84" s="93">
        <v>3201760001</v>
      </c>
      <c r="D84" s="641" t="s">
        <v>729</v>
      </c>
      <c r="E84" s="530">
        <f>ROUND(G84*1.025,2)</f>
        <v>64.33</v>
      </c>
      <c r="F84" s="530">
        <f>ROUND(E84/0.723358,2)</f>
        <v>88.93</v>
      </c>
      <c r="G84" s="615">
        <v>62.760993096890829</v>
      </c>
      <c r="H84" s="604">
        <f>ROUND(G84/0.723358,2)</f>
        <v>86.76</v>
      </c>
      <c r="I84" s="530">
        <f>ROUND(G84*0.993939,2)</f>
        <v>62.38</v>
      </c>
      <c r="J84" s="530">
        <f>ROUND(I84/0.723358,2)</f>
        <v>86.24</v>
      </c>
      <c r="K84" s="615">
        <f>ROUND(G84*0.987952,2)</f>
        <v>62</v>
      </c>
      <c r="L84" s="604">
        <f>ROUND(K84/0.723358,2)</f>
        <v>85.71</v>
      </c>
      <c r="M84" s="530">
        <f>ROUND(G84*0.931818,2)</f>
        <v>58.48</v>
      </c>
      <c r="N84" s="604">
        <f t="shared" si="11"/>
        <v>80.849999999999994</v>
      </c>
    </row>
    <row r="85" spans="1:14" s="150" customFormat="1">
      <c r="A85" s="227">
        <v>7891721028120</v>
      </c>
      <c r="B85" s="583">
        <v>1008903830044</v>
      </c>
      <c r="C85" s="93">
        <v>3201770002</v>
      </c>
      <c r="D85" s="641" t="s">
        <v>730</v>
      </c>
      <c r="E85" s="530">
        <f>ROUND(G85*1.025,2)</f>
        <v>98.64</v>
      </c>
      <c r="F85" s="530">
        <f>ROUND(E85/0.723358,2)</f>
        <v>136.36000000000001</v>
      </c>
      <c r="G85" s="615">
        <v>96.231427572698919</v>
      </c>
      <c r="H85" s="604">
        <f>ROUND(G85/0.723358,2)</f>
        <v>133.03</v>
      </c>
      <c r="I85" s="530">
        <f>ROUND(G85*0.993939,2)</f>
        <v>95.65</v>
      </c>
      <c r="J85" s="530">
        <f>ROUND(I85/0.723358,2)</f>
        <v>132.22999999999999</v>
      </c>
      <c r="K85" s="615">
        <f>ROUND(G85*0.987952,2)</f>
        <v>95.07</v>
      </c>
      <c r="L85" s="604">
        <f>ROUND(K85/0.723358,2)</f>
        <v>131.43</v>
      </c>
      <c r="M85" s="530">
        <f>ROUND(G85*0.931818,2)</f>
        <v>89.67</v>
      </c>
      <c r="N85" s="604">
        <f t="shared" si="11"/>
        <v>123.96</v>
      </c>
    </row>
    <row r="86" spans="1:14" s="150" customFormat="1" ht="15">
      <c r="A86" s="553"/>
      <c r="B86" s="715" t="s">
        <v>437</v>
      </c>
      <c r="C86" s="716"/>
      <c r="D86" s="717"/>
      <c r="E86" s="536"/>
      <c r="F86" s="537"/>
      <c r="G86" s="645"/>
      <c r="H86" s="295"/>
      <c r="I86" s="536"/>
      <c r="J86" s="537"/>
      <c r="K86" s="645"/>
      <c r="L86" s="295"/>
      <c r="M86" s="536"/>
      <c r="N86" s="295"/>
    </row>
    <row r="87" spans="1:14" s="150" customFormat="1">
      <c r="A87" s="634">
        <v>7891721201219</v>
      </c>
      <c r="B87" s="583">
        <v>1008903490022</v>
      </c>
      <c r="C87" s="139" t="s">
        <v>438</v>
      </c>
      <c r="D87" s="639" t="s">
        <v>619</v>
      </c>
      <c r="E87" s="531">
        <f>G87</f>
        <v>37.22079927779221</v>
      </c>
      <c r="F87" s="531">
        <f t="shared" ref="F87:F89" si="21">H87</f>
        <v>51.45</v>
      </c>
      <c r="G87" s="616">
        <v>37.22079927779221</v>
      </c>
      <c r="H87" s="605">
        <v>51.45</v>
      </c>
      <c r="I87" s="531">
        <v>36.99</v>
      </c>
      <c r="J87" s="531">
        <f>ROUND(I87/0.723358,2)</f>
        <v>51.14</v>
      </c>
      <c r="K87" s="616">
        <f>ROUND(G87*0.987952,2)</f>
        <v>36.770000000000003</v>
      </c>
      <c r="L87" s="605">
        <f>ROUND(K87/0.723358,2)</f>
        <v>50.83</v>
      </c>
      <c r="M87" s="531">
        <f>ROUND(G87*0.931818,2)</f>
        <v>34.68</v>
      </c>
      <c r="N87" s="605">
        <f t="shared" ref="N87:N89" si="22">ROUND(M87/0.723358,2)</f>
        <v>47.94</v>
      </c>
    </row>
    <row r="88" spans="1:14" s="150" customFormat="1">
      <c r="A88" s="635">
        <v>7891721201233</v>
      </c>
      <c r="B88" s="607">
        <v>1008903490057</v>
      </c>
      <c r="C88" s="532" t="s">
        <v>439</v>
      </c>
      <c r="D88" s="643" t="s">
        <v>620</v>
      </c>
      <c r="E88" s="530">
        <f>G88</f>
        <v>47.047174094164035</v>
      </c>
      <c r="F88" s="530">
        <f t="shared" si="21"/>
        <v>65.040000000000006</v>
      </c>
      <c r="G88" s="615">
        <v>47.047174094164035</v>
      </c>
      <c r="H88" s="604">
        <f>ROUND(G88/0.723358,2)</f>
        <v>65.040000000000006</v>
      </c>
      <c r="I88" s="530">
        <f>ROUND(G88*0.993939,2)</f>
        <v>46.76</v>
      </c>
      <c r="J88" s="530">
        <f>ROUND(I88/0.723358,2)</f>
        <v>64.64</v>
      </c>
      <c r="K88" s="615">
        <f>ROUND(G88*0.987952,2)</f>
        <v>46.48</v>
      </c>
      <c r="L88" s="604">
        <f>ROUND(K88/0.723358,2)</f>
        <v>64.260000000000005</v>
      </c>
      <c r="M88" s="530">
        <f>ROUND(G88*0.931818,2)</f>
        <v>43.84</v>
      </c>
      <c r="N88" s="604">
        <f t="shared" si="22"/>
        <v>60.61</v>
      </c>
    </row>
    <row r="89" spans="1:14" s="150" customFormat="1">
      <c r="A89" s="561">
        <v>7891721201257</v>
      </c>
      <c r="B89" s="583">
        <v>1008903490081</v>
      </c>
      <c r="C89" s="139" t="s">
        <v>528</v>
      </c>
      <c r="D89" s="640" t="s">
        <v>621</v>
      </c>
      <c r="E89" s="530">
        <f>G89</f>
        <v>99.688467753298809</v>
      </c>
      <c r="F89" s="530">
        <f t="shared" si="21"/>
        <v>137.81</v>
      </c>
      <c r="G89" s="615">
        <v>99.688467753298809</v>
      </c>
      <c r="H89" s="604">
        <f>ROUND(G89/0.723358,2)</f>
        <v>137.81</v>
      </c>
      <c r="I89" s="530">
        <f>ROUND(G89*0.993939,2)</f>
        <v>99.08</v>
      </c>
      <c r="J89" s="530">
        <f>ROUND(I89/0.723358,2)</f>
        <v>136.97</v>
      </c>
      <c r="K89" s="615">
        <f>ROUND(G89*0.987952,2)</f>
        <v>98.49</v>
      </c>
      <c r="L89" s="604">
        <f>ROUND(K89/0.723358,2)</f>
        <v>136.16</v>
      </c>
      <c r="M89" s="530">
        <f>ROUND(G89*0.931818,2)</f>
        <v>92.89</v>
      </c>
      <c r="N89" s="604">
        <f t="shared" si="22"/>
        <v>128.41</v>
      </c>
    </row>
    <row r="90" spans="1:14" s="150" customFormat="1" ht="15">
      <c r="A90" s="553"/>
      <c r="B90" s="715" t="s">
        <v>719</v>
      </c>
      <c r="C90" s="716"/>
      <c r="D90" s="717"/>
      <c r="E90" s="536"/>
      <c r="F90" s="537"/>
      <c r="G90" s="645"/>
      <c r="H90" s="295"/>
      <c r="I90" s="536"/>
      <c r="J90" s="537"/>
      <c r="K90" s="645"/>
      <c r="L90" s="295"/>
      <c r="M90" s="536"/>
      <c r="N90" s="295"/>
    </row>
    <row r="91" spans="1:14" s="150" customFormat="1">
      <c r="A91" s="565">
        <v>7891721028441</v>
      </c>
      <c r="B91" s="583">
        <v>1008903850029</v>
      </c>
      <c r="C91" s="139">
        <v>3220830001</v>
      </c>
      <c r="D91" s="639" t="s">
        <v>720</v>
      </c>
      <c r="E91" s="531">
        <f>G91</f>
        <v>10.716824559859678</v>
      </c>
      <c r="F91" s="531">
        <f t="shared" ref="F91:F93" si="23">H91</f>
        <v>14.81</v>
      </c>
      <c r="G91" s="616">
        <v>10.716824559859678</v>
      </c>
      <c r="H91" s="605">
        <v>14.81</v>
      </c>
      <c r="I91" s="531">
        <f>ROUND(G91*0.993939,2)</f>
        <v>10.65</v>
      </c>
      <c r="J91" s="531">
        <f t="shared" ref="J91:J94" si="24">ROUND(I91/0.723358,2)</f>
        <v>14.72</v>
      </c>
      <c r="K91" s="616">
        <f>ROUND(G91*0.987952,2)</f>
        <v>10.59</v>
      </c>
      <c r="L91" s="605">
        <f>ROUND(K91/0.723358,2)</f>
        <v>14.64</v>
      </c>
      <c r="M91" s="531">
        <f>ROUND(G91*0.931818,2)</f>
        <v>9.99</v>
      </c>
      <c r="N91" s="605">
        <f t="shared" si="11"/>
        <v>13.81</v>
      </c>
    </row>
    <row r="92" spans="1:14" s="150" customFormat="1">
      <c r="A92" s="565">
        <v>7891721028458</v>
      </c>
      <c r="B92" s="583">
        <v>1008903850053</v>
      </c>
      <c r="C92" s="139">
        <v>3220900001</v>
      </c>
      <c r="D92" s="639" t="s">
        <v>721</v>
      </c>
      <c r="E92" s="531">
        <f>G92</f>
        <v>21.025089825648458</v>
      </c>
      <c r="F92" s="531">
        <f t="shared" si="23"/>
        <v>29.07</v>
      </c>
      <c r="G92" s="616">
        <v>21.025089825648458</v>
      </c>
      <c r="H92" s="605">
        <f>ROUND(G92/0.723358,2)</f>
        <v>29.07</v>
      </c>
      <c r="I92" s="531">
        <f>ROUND(G92*0.993939,2)</f>
        <v>20.9</v>
      </c>
      <c r="J92" s="531">
        <f t="shared" si="24"/>
        <v>28.89</v>
      </c>
      <c r="K92" s="616">
        <f>ROUND(G92*0.987952,2)</f>
        <v>20.77</v>
      </c>
      <c r="L92" s="605">
        <f>ROUND(K92/0.723358,2)</f>
        <v>28.71</v>
      </c>
      <c r="M92" s="531">
        <f>ROUND(G92*0.931818,2)</f>
        <v>19.59</v>
      </c>
      <c r="N92" s="605">
        <f t="shared" si="11"/>
        <v>27.08</v>
      </c>
    </row>
    <row r="93" spans="1:14" s="150" customFormat="1">
      <c r="A93" s="565">
        <v>7891721028472</v>
      </c>
      <c r="B93" s="583">
        <v>1008903850071</v>
      </c>
      <c r="C93" s="139">
        <v>3220910001</v>
      </c>
      <c r="D93" s="639" t="s">
        <v>618</v>
      </c>
      <c r="E93" s="531">
        <f>G93</f>
        <v>40.814025889749075</v>
      </c>
      <c r="F93" s="531">
        <f t="shared" si="23"/>
        <v>56.42</v>
      </c>
      <c r="G93" s="616">
        <v>40.814025889749075</v>
      </c>
      <c r="H93" s="605">
        <f>ROUND(G93/0.723358,2)</f>
        <v>56.42</v>
      </c>
      <c r="I93" s="531">
        <f>ROUND(G93*0.993939,2)</f>
        <v>40.57</v>
      </c>
      <c r="J93" s="531">
        <f t="shared" si="24"/>
        <v>56.09</v>
      </c>
      <c r="K93" s="616">
        <f>ROUND(G93*0.987952,2)</f>
        <v>40.32</v>
      </c>
      <c r="L93" s="605">
        <f>ROUND(K93/0.723358,2)</f>
        <v>55.74</v>
      </c>
      <c r="M93" s="531">
        <f>ROUND(G93*0.931818,2)</f>
        <v>38.03</v>
      </c>
      <c r="N93" s="605">
        <f t="shared" si="11"/>
        <v>52.57</v>
      </c>
    </row>
    <row r="94" spans="1:14" s="150" customFormat="1">
      <c r="A94" s="565">
        <v>7891721028496</v>
      </c>
      <c r="B94" s="583">
        <v>1008903850096</v>
      </c>
      <c r="C94" s="139">
        <v>3220920001</v>
      </c>
      <c r="D94" s="639" t="s">
        <v>534</v>
      </c>
      <c r="E94" s="531">
        <f>ROUND(G94*1.025,2)</f>
        <v>50.18</v>
      </c>
      <c r="F94" s="531">
        <f>ROUND(E94/0.723358,2)</f>
        <v>69.37</v>
      </c>
      <c r="G94" s="616">
        <v>48.953784133161548</v>
      </c>
      <c r="H94" s="605">
        <v>67.67</v>
      </c>
      <c r="I94" s="531">
        <f>ROUND(G94*0.993939,2)</f>
        <v>48.66</v>
      </c>
      <c r="J94" s="531">
        <f t="shared" si="24"/>
        <v>67.27</v>
      </c>
      <c r="K94" s="616">
        <f>ROUND(G94*0.987952,2)</f>
        <v>48.36</v>
      </c>
      <c r="L94" s="605">
        <f>ROUND(K94/0.723358,2)</f>
        <v>66.849999999999994</v>
      </c>
      <c r="M94" s="531">
        <f>ROUND(G94*0.931818,2)</f>
        <v>45.62</v>
      </c>
      <c r="N94" s="605">
        <f t="shared" si="11"/>
        <v>63.07</v>
      </c>
    </row>
    <row r="95" spans="1:14" s="150" customFormat="1">
      <c r="A95" s="633"/>
      <c r="B95" s="637"/>
      <c r="C95" s="152"/>
      <c r="D95" s="642"/>
      <c r="E95" s="539"/>
      <c r="F95" s="539"/>
      <c r="G95" s="646"/>
      <c r="H95" s="169"/>
      <c r="I95" s="539"/>
      <c r="J95" s="539"/>
      <c r="K95" s="646"/>
      <c r="L95" s="169"/>
      <c r="M95" s="539"/>
      <c r="N95" s="169"/>
    </row>
    <row r="96" spans="1:14" s="150" customFormat="1" ht="18.75" customHeight="1">
      <c r="A96" s="558" t="s">
        <v>295</v>
      </c>
      <c r="B96" s="707" t="s">
        <v>353</v>
      </c>
      <c r="C96" s="708"/>
      <c r="D96" s="709"/>
      <c r="E96" s="702" t="s">
        <v>741</v>
      </c>
      <c r="F96" s="703"/>
      <c r="G96" s="702" t="s">
        <v>292</v>
      </c>
      <c r="H96" s="703"/>
      <c r="I96" s="702" t="s">
        <v>740</v>
      </c>
      <c r="J96" s="703"/>
      <c r="K96" s="702" t="s">
        <v>293</v>
      </c>
      <c r="L96" s="703"/>
      <c r="M96" s="702" t="s">
        <v>322</v>
      </c>
      <c r="N96" s="703"/>
    </row>
    <row r="97" spans="1:28" s="150" customFormat="1" ht="15.75" customHeight="1">
      <c r="A97" s="558" t="s">
        <v>296</v>
      </c>
      <c r="B97" s="580" t="s">
        <v>13</v>
      </c>
      <c r="C97" s="511" t="s">
        <v>83</v>
      </c>
      <c r="D97" s="588"/>
      <c r="E97" s="542" t="s">
        <v>81</v>
      </c>
      <c r="F97" s="542" t="s">
        <v>82</v>
      </c>
      <c r="G97" s="648" t="s">
        <v>81</v>
      </c>
      <c r="H97" s="197" t="s">
        <v>82</v>
      </c>
      <c r="I97" s="542" t="s">
        <v>81</v>
      </c>
      <c r="J97" s="542" t="s">
        <v>82</v>
      </c>
      <c r="K97" s="648" t="s">
        <v>81</v>
      </c>
      <c r="L97" s="197" t="s">
        <v>82</v>
      </c>
      <c r="M97" s="542" t="s">
        <v>81</v>
      </c>
      <c r="N97" s="197" t="s">
        <v>82</v>
      </c>
    </row>
    <row r="98" spans="1:28" s="150" customFormat="1" ht="16.5" customHeight="1">
      <c r="A98" s="559"/>
      <c r="B98" s="581" t="s">
        <v>14</v>
      </c>
      <c r="C98" s="515" t="s">
        <v>379</v>
      </c>
      <c r="D98" s="588" t="s">
        <v>84</v>
      </c>
      <c r="E98" s="542" t="s">
        <v>85</v>
      </c>
      <c r="F98" s="542" t="s">
        <v>297</v>
      </c>
      <c r="G98" s="648" t="s">
        <v>85</v>
      </c>
      <c r="H98" s="197" t="s">
        <v>297</v>
      </c>
      <c r="I98" s="542" t="s">
        <v>85</v>
      </c>
      <c r="J98" s="542" t="s">
        <v>297</v>
      </c>
      <c r="K98" s="648" t="s">
        <v>85</v>
      </c>
      <c r="L98" s="197" t="s">
        <v>297</v>
      </c>
      <c r="M98" s="542" t="s">
        <v>85</v>
      </c>
      <c r="N98" s="197" t="s">
        <v>297</v>
      </c>
    </row>
    <row r="99" spans="1:28" s="150" customFormat="1" ht="15">
      <c r="A99" s="553"/>
      <c r="B99" s="715" t="s">
        <v>423</v>
      </c>
      <c r="C99" s="716"/>
      <c r="D99" s="717"/>
      <c r="E99" s="540"/>
      <c r="F99" s="541"/>
      <c r="G99" s="647"/>
      <c r="H99" s="307"/>
      <c r="I99" s="540"/>
      <c r="J99" s="541"/>
      <c r="K99" s="647"/>
      <c r="L99" s="307"/>
      <c r="M99" s="540"/>
      <c r="N99" s="307"/>
    </row>
    <row r="100" spans="1:28" s="150" customFormat="1">
      <c r="A100" s="565">
        <v>7891721200915</v>
      </c>
      <c r="B100" s="583">
        <v>1008903340063</v>
      </c>
      <c r="C100" s="139" t="s">
        <v>421</v>
      </c>
      <c r="D100" s="639" t="s">
        <v>422</v>
      </c>
      <c r="E100" s="531">
        <f>ROUND(G100*1.028952,2)</f>
        <v>15.23</v>
      </c>
      <c r="F100" s="531">
        <f>ROUND(E100/0.751296,2)</f>
        <v>20.27</v>
      </c>
      <c r="G100" s="616">
        <v>14.799242725277123</v>
      </c>
      <c r="H100" s="605">
        <f>ROUND(G100/0.750577,2)</f>
        <v>19.72</v>
      </c>
      <c r="I100" s="531">
        <f>ROUND(G100*0.993015,2)</f>
        <v>14.7</v>
      </c>
      <c r="J100" s="531">
        <f>ROUND(I100/0.750402,2)</f>
        <v>19.59</v>
      </c>
      <c r="K100" s="616">
        <f>ROUND(G100*0.986128,2)</f>
        <v>14.59</v>
      </c>
      <c r="L100" s="605">
        <f>ROUND(K100/0.75023,2)</f>
        <v>19.45</v>
      </c>
      <c r="M100" s="531">
        <f>ROUND(G100*0.922175,2)</f>
        <v>13.65</v>
      </c>
      <c r="N100" s="605">
        <f>ROUND(M100/0.748624,2)</f>
        <v>18.23</v>
      </c>
    </row>
    <row r="101" spans="1:28" s="150" customFormat="1" ht="15">
      <c r="A101" s="553"/>
      <c r="B101" s="715" t="s">
        <v>341</v>
      </c>
      <c r="C101" s="716"/>
      <c r="D101" s="717"/>
      <c r="E101" s="536"/>
      <c r="F101" s="537"/>
      <c r="G101" s="645"/>
      <c r="H101" s="295"/>
      <c r="I101" s="536"/>
      <c r="J101" s="537"/>
      <c r="K101" s="645"/>
      <c r="L101" s="295"/>
      <c r="M101" s="536"/>
      <c r="N101" s="295"/>
    </row>
    <row r="102" spans="1:28" s="150" customFormat="1">
      <c r="A102" s="565">
        <v>7891721270406</v>
      </c>
      <c r="B102" s="583">
        <v>1008903330033</v>
      </c>
      <c r="C102" s="139" t="s">
        <v>523</v>
      </c>
      <c r="D102" s="644" t="s">
        <v>3</v>
      </c>
      <c r="E102" s="531">
        <f>ROUND(G102*1.028952,2)</f>
        <v>42.8</v>
      </c>
      <c r="F102" s="531">
        <f>ROUND(E102/0.751296,2)</f>
        <v>56.97</v>
      </c>
      <c r="G102" s="616">
        <v>41.598144000000005</v>
      </c>
      <c r="H102" s="605">
        <f>ROUND(G102/0.750577,2)</f>
        <v>55.42</v>
      </c>
      <c r="I102" s="531">
        <f>ROUND(G102*0.993015,2)</f>
        <v>41.31</v>
      </c>
      <c r="J102" s="531">
        <f t="shared" ref="J102:J103" si="25">ROUND(I102/0.750402,2)</f>
        <v>55.05</v>
      </c>
      <c r="K102" s="616">
        <f>ROUND(G102*0.986128,2)</f>
        <v>41.02</v>
      </c>
      <c r="L102" s="605">
        <f>ROUND(K102/0.75023,2)</f>
        <v>54.68</v>
      </c>
      <c r="M102" s="531">
        <f>ROUND(G102*0.922175,2)</f>
        <v>38.36</v>
      </c>
      <c r="N102" s="605">
        <f>ROUND(M102/0.748624,2)</f>
        <v>51.24</v>
      </c>
    </row>
    <row r="103" spans="1:28" s="150" customFormat="1">
      <c r="A103" s="565">
        <v>7891721270420</v>
      </c>
      <c r="B103" s="583">
        <v>1008903330051</v>
      </c>
      <c r="C103" s="139" t="s">
        <v>524</v>
      </c>
      <c r="D103" s="644" t="s">
        <v>4</v>
      </c>
      <c r="E103" s="531">
        <f>ROUND(G103*1.028952,2)</f>
        <v>80.8</v>
      </c>
      <c r="F103" s="531">
        <f>ROUND(E103/0.751296,2)</f>
        <v>107.55</v>
      </c>
      <c r="G103" s="616">
        <v>78.523592000000008</v>
      </c>
      <c r="H103" s="605">
        <f>ROUND(G103/0.750577,2)</f>
        <v>104.62</v>
      </c>
      <c r="I103" s="531">
        <v>77.97</v>
      </c>
      <c r="J103" s="531">
        <f t="shared" si="25"/>
        <v>103.9</v>
      </c>
      <c r="K103" s="616">
        <f>ROUND(G103*0.986128,2)</f>
        <v>77.430000000000007</v>
      </c>
      <c r="L103" s="605">
        <f>ROUND(K103/0.75023,2)</f>
        <v>103.21</v>
      </c>
      <c r="M103" s="531">
        <f>ROUND(G103*0.922175,2)</f>
        <v>72.41</v>
      </c>
      <c r="N103" s="605">
        <f>ROUND(M103/0.748624,2)</f>
        <v>96.72</v>
      </c>
    </row>
    <row r="104" spans="1:28" s="150" customFormat="1" ht="15">
      <c r="A104" s="553"/>
      <c r="B104" s="715" t="s">
        <v>354</v>
      </c>
      <c r="C104" s="716"/>
      <c r="D104" s="717"/>
      <c r="E104" s="536"/>
      <c r="F104" s="537"/>
      <c r="G104" s="645"/>
      <c r="H104" s="295"/>
      <c r="I104" s="536"/>
      <c r="J104" s="537"/>
      <c r="K104" s="645"/>
      <c r="L104" s="295"/>
      <c r="M104" s="536"/>
      <c r="N104" s="295"/>
    </row>
    <row r="105" spans="1:28" s="150" customFormat="1" ht="13.5" thickBot="1">
      <c r="A105" s="653">
        <v>7891721270505</v>
      </c>
      <c r="B105" s="587" t="s">
        <v>57</v>
      </c>
      <c r="C105" s="381" t="s">
        <v>525</v>
      </c>
      <c r="D105" s="654" t="s">
        <v>355</v>
      </c>
      <c r="E105" s="618">
        <f>ROUND(G105*1.028952,2)</f>
        <v>27.02</v>
      </c>
      <c r="F105" s="618">
        <f>ROUND(E105/0.751296,2)</f>
        <v>35.96</v>
      </c>
      <c r="G105" s="621">
        <v>26.263029493224057</v>
      </c>
      <c r="H105" s="622">
        <f>ROUND(G105/0.750577,2)</f>
        <v>34.99</v>
      </c>
      <c r="I105" s="618">
        <f>ROUND(G105*0.993015,2)</f>
        <v>26.08</v>
      </c>
      <c r="J105" s="618">
        <f>ROUND(I105/0.750402,2)</f>
        <v>34.75</v>
      </c>
      <c r="K105" s="621">
        <f>ROUND(G105*0.986128,2)</f>
        <v>25.9</v>
      </c>
      <c r="L105" s="622">
        <f>ROUND(K105/0.75023,2)</f>
        <v>34.520000000000003</v>
      </c>
      <c r="M105" s="618">
        <f>ROUND(G105*0.922175,2)</f>
        <v>24.22</v>
      </c>
      <c r="N105" s="622">
        <f>ROUND(M105/0.748624,2)</f>
        <v>32.35</v>
      </c>
    </row>
    <row r="107" spans="1:28" s="89" customFormat="1">
      <c r="A107" s="234"/>
      <c r="B107" s="372" t="s">
        <v>743</v>
      </c>
      <c r="C107" s="136"/>
      <c r="D107" s="92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  <c r="AB107" s="374"/>
    </row>
    <row r="108" spans="1:28" s="89" customFormat="1">
      <c r="A108" s="234"/>
      <c r="B108" s="372" t="s">
        <v>744</v>
      </c>
      <c r="C108" s="136"/>
      <c r="D108" s="92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374"/>
      <c r="P108" s="374"/>
      <c r="Q108" s="374"/>
      <c r="R108" s="374"/>
      <c r="S108" s="374"/>
      <c r="T108" s="374"/>
      <c r="U108" s="374"/>
      <c r="V108" s="374"/>
      <c r="W108" s="374"/>
      <c r="X108" s="374"/>
      <c r="Y108" s="374"/>
      <c r="Z108" s="374"/>
      <c r="AA108" s="374"/>
      <c r="AB108" s="374"/>
    </row>
    <row r="109" spans="1:28" s="89" customFormat="1">
      <c r="A109" s="234"/>
      <c r="B109" s="372" t="s">
        <v>778</v>
      </c>
      <c r="C109" s="136"/>
      <c r="D109" s="92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</row>
    <row r="110" spans="1:28" s="89" customFormat="1">
      <c r="A110" s="234"/>
      <c r="B110" s="136"/>
      <c r="C110" s="136"/>
      <c r="D110" s="9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</row>
    <row r="111" spans="1:28" s="89" customFormat="1">
      <c r="A111" s="228"/>
      <c r="B111" s="337" t="s">
        <v>711</v>
      </c>
      <c r="C111" s="99"/>
      <c r="E111" s="127"/>
      <c r="F111" s="127"/>
      <c r="G111" s="127"/>
      <c r="H111" s="127"/>
      <c r="I111" s="127"/>
      <c r="J111" s="127"/>
      <c r="K111" s="127"/>
      <c r="L111" s="127"/>
      <c r="M111" s="127"/>
      <c r="N111" s="96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</row>
    <row r="112" spans="1:28" s="89" customFormat="1">
      <c r="A112" s="228"/>
      <c r="B112" s="99"/>
      <c r="C112" s="99"/>
      <c r="E112" s="144"/>
      <c r="F112" s="144"/>
      <c r="G112" s="143"/>
      <c r="H112" s="145"/>
      <c r="I112" s="146"/>
      <c r="J112" s="96"/>
      <c r="K112" s="146"/>
      <c r="L112" s="96"/>
      <c r="M112" s="146"/>
      <c r="N112" s="96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</row>
    <row r="113" spans="1:28" s="89" customFormat="1">
      <c r="A113" s="228"/>
      <c r="B113" s="225" t="s">
        <v>642</v>
      </c>
      <c r="C113" s="99"/>
      <c r="E113" s="98"/>
      <c r="F113" s="98"/>
      <c r="H113" s="95"/>
      <c r="J113" s="96"/>
      <c r="L113" s="96"/>
      <c r="N113" s="96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74"/>
    </row>
    <row r="114" spans="1:28" s="89" customFormat="1">
      <c r="A114" s="228"/>
      <c r="B114" s="138" t="s">
        <v>739</v>
      </c>
      <c r="C114" s="90"/>
      <c r="E114" s="98"/>
      <c r="F114" s="98"/>
      <c r="H114" s="95"/>
      <c r="J114" s="96"/>
      <c r="L114" s="96"/>
      <c r="N114" s="96"/>
      <c r="O114" s="374"/>
      <c r="P114" s="374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  <c r="AB114" s="374"/>
    </row>
    <row r="115" spans="1:28" s="89" customFormat="1">
      <c r="A115" s="228"/>
      <c r="B115" s="138"/>
      <c r="C115" s="103"/>
      <c r="D115" s="102"/>
      <c r="E115" s="98"/>
      <c r="F115" s="98"/>
      <c r="H115" s="95"/>
      <c r="J115" s="96"/>
      <c r="L115" s="96"/>
      <c r="N115" s="96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</row>
    <row r="116" spans="1:28" s="89" customFormat="1">
      <c r="A116" s="228"/>
      <c r="B116" s="138" t="s">
        <v>707</v>
      </c>
      <c r="C116" s="336"/>
      <c r="D116" s="336"/>
      <c r="E116"/>
      <c r="F116" s="138"/>
      <c r="H116" s="95"/>
      <c r="J116" s="96"/>
      <c r="L116" s="96"/>
      <c r="N116" s="96"/>
      <c r="O116" s="374"/>
      <c r="P116" s="374"/>
      <c r="Q116" s="374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  <c r="AB116" s="374"/>
    </row>
    <row r="117" spans="1:28" s="89" customFormat="1">
      <c r="A117" s="228"/>
      <c r="B117" s="138" t="s">
        <v>708</v>
      </c>
      <c r="C117" s="336"/>
      <c r="D117" s="336"/>
      <c r="E117"/>
      <c r="F117" s="138"/>
      <c r="H117" s="95"/>
      <c r="J117" s="96"/>
      <c r="L117" s="96"/>
      <c r="N117" s="96"/>
      <c r="O117" s="374"/>
      <c r="P117" s="374"/>
      <c r="Q117" s="374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  <c r="AB117" s="374"/>
    </row>
    <row r="118" spans="1:28" s="89" customFormat="1">
      <c r="A118" s="228"/>
      <c r="B118" s="138" t="s">
        <v>742</v>
      </c>
      <c r="C118" s="336"/>
      <c r="D118" s="336"/>
      <c r="E118"/>
      <c r="F118" s="138"/>
      <c r="H118" s="95"/>
      <c r="J118" s="96"/>
      <c r="L118" s="96"/>
      <c r="N118" s="96"/>
      <c r="O118" s="374"/>
      <c r="P118" s="374"/>
      <c r="Q118" s="374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  <c r="AB118" s="374"/>
    </row>
    <row r="119" spans="1:28" s="89" customFormat="1">
      <c r="A119" s="228"/>
      <c r="B119" s="138" t="s">
        <v>709</v>
      </c>
      <c r="C119" s="336"/>
      <c r="D119" s="336"/>
      <c r="E119"/>
      <c r="F119" s="138"/>
      <c r="H119" s="95"/>
      <c r="J119" s="96"/>
      <c r="L119" s="96"/>
      <c r="N119" s="96"/>
      <c r="O119" s="374"/>
      <c r="P119" s="374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  <c r="AB119" s="374"/>
    </row>
    <row r="120" spans="1:28" s="89" customFormat="1">
      <c r="A120" s="228"/>
      <c r="B120" s="138"/>
      <c r="C120" s="336"/>
      <c r="D120" s="336"/>
      <c r="E120"/>
      <c r="F120" s="138"/>
      <c r="H120" s="95"/>
      <c r="J120" s="96"/>
      <c r="L120" s="96"/>
      <c r="N120" s="96"/>
      <c r="O120" s="374"/>
      <c r="P120" s="374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</row>
    <row r="121" spans="1:28" s="89" customFormat="1">
      <c r="A121" s="228"/>
      <c r="B121" s="225" t="s">
        <v>581</v>
      </c>
      <c r="C121" s="103"/>
      <c r="D121" s="102"/>
      <c r="E121" s="98"/>
      <c r="F121" s="98"/>
      <c r="H121" s="95"/>
      <c r="J121" s="96"/>
      <c r="L121" s="96"/>
      <c r="N121" s="96"/>
      <c r="O121" s="374"/>
      <c r="P121" s="374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</row>
    <row r="122" spans="1:28" s="89" customFormat="1">
      <c r="A122" s="228"/>
      <c r="B122" s="225"/>
      <c r="C122" s="103"/>
      <c r="D122" s="102"/>
      <c r="E122" s="98"/>
      <c r="F122" s="98"/>
      <c r="H122" s="95"/>
      <c r="J122" s="96"/>
      <c r="L122" s="96"/>
      <c r="N122" s="96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</row>
    <row r="123" spans="1:28" s="89" customFormat="1">
      <c r="A123" s="228"/>
      <c r="B123" s="365" t="s">
        <v>782</v>
      </c>
      <c r="C123" s="366"/>
      <c r="D123" s="367"/>
      <c r="E123" s="368"/>
      <c r="F123" s="368"/>
      <c r="G123" s="369"/>
      <c r="H123" s="370"/>
      <c r="I123" s="369"/>
      <c r="J123" s="371"/>
      <c r="K123" s="369"/>
      <c r="L123" s="371"/>
      <c r="N123" s="96"/>
      <c r="O123" s="374"/>
      <c r="P123" s="374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  <c r="AB123" s="374"/>
    </row>
    <row r="124" spans="1:28" s="89" customFormat="1">
      <c r="A124" s="228"/>
      <c r="B124" s="103"/>
      <c r="C124" s="97"/>
      <c r="D124" s="88"/>
      <c r="E124" s="98"/>
      <c r="F124" s="98"/>
      <c r="H124" s="95"/>
      <c r="J124" s="96"/>
      <c r="L124" s="96"/>
      <c r="N124" s="96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</row>
    <row r="125" spans="1:28" s="89" customFormat="1">
      <c r="A125" s="228"/>
      <c r="B125" s="100" t="s">
        <v>777</v>
      </c>
      <c r="C125" s="97"/>
      <c r="D125" s="88"/>
      <c r="E125" s="98"/>
      <c r="F125" s="98"/>
      <c r="H125" s="95"/>
      <c r="J125" s="96"/>
      <c r="L125" s="96"/>
      <c r="N125" s="96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</row>
  </sheetData>
  <mergeCells count="35">
    <mergeCell ref="E96:F96"/>
    <mergeCell ref="G96:H96"/>
    <mergeCell ref="I96:J96"/>
    <mergeCell ref="K96:L96"/>
    <mergeCell ref="M96:N96"/>
    <mergeCell ref="A3:N3"/>
    <mergeCell ref="B7:D7"/>
    <mergeCell ref="B14:D14"/>
    <mergeCell ref="B10:D10"/>
    <mergeCell ref="B21:D21"/>
    <mergeCell ref="B18:D18"/>
    <mergeCell ref="K4:L4"/>
    <mergeCell ref="M4:N4"/>
    <mergeCell ref="B4:D4"/>
    <mergeCell ref="E4:F4"/>
    <mergeCell ref="G4:H4"/>
    <mergeCell ref="I4:J4"/>
    <mergeCell ref="B43:D43"/>
    <mergeCell ref="B41:D41"/>
    <mergeCell ref="B39:D39"/>
    <mergeCell ref="B53:D53"/>
    <mergeCell ref="B49:D49"/>
    <mergeCell ref="B47:D47"/>
    <mergeCell ref="B69:D69"/>
    <mergeCell ref="B66:D66"/>
    <mergeCell ref="B64:D64"/>
    <mergeCell ref="B86:D86"/>
    <mergeCell ref="B83:D83"/>
    <mergeCell ref="B79:D79"/>
    <mergeCell ref="B104:D104"/>
    <mergeCell ref="B101:D101"/>
    <mergeCell ref="B99:D99"/>
    <mergeCell ref="B90:D90"/>
    <mergeCell ref="B72:D72"/>
    <mergeCell ref="B96:D96"/>
  </mergeCells>
  <dataValidations count="2">
    <dataValidation type="textLength" operator="greaterThanOrEqual" allowBlank="1" showErrorMessage="1" promptTitle="Produto" prompt="Informar o nome do produto" sqref="A40 A38 A22 A19:A20 A8:A9 A13 A11 A17 A48 A15 A100 A74:A78 A92:A95 A70:A71 A35:A36 A65 A42 A44 A50:A52 A46 A54:A63 A29:A33 A88:A89 A80:A82 A84:A85 A27 A107:A110">
      <formula1>1</formula1>
    </dataValidation>
    <dataValidation type="textLength" allowBlank="1" showInputMessage="1" showErrorMessage="1" sqref="A16 A105 A12 A67:A68 A102:A103 A24:A25">
      <formula1>9</formula1>
      <formula2>13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9"/>
  <sheetViews>
    <sheetView topLeftCell="H1" workbookViewId="0">
      <selection activeCell="O8" sqref="O8"/>
    </sheetView>
  </sheetViews>
  <sheetFormatPr defaultRowHeight="12.75"/>
  <cols>
    <col min="1" max="1" width="19.140625" customWidth="1"/>
    <col min="2" max="2" width="21.5703125" customWidth="1"/>
    <col min="3" max="3" width="20.5703125" customWidth="1"/>
    <col min="4" max="4" width="37.28515625" customWidth="1"/>
  </cols>
  <sheetData>
    <row r="2" spans="1:16" ht="44.25" customHeight="1"/>
    <row r="3" spans="1:16" ht="18.75" thickBot="1">
      <c r="A3" s="698" t="s">
        <v>779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</row>
    <row r="4" spans="1:16" s="514" customFormat="1" ht="33" customHeight="1">
      <c r="A4" s="602" t="s">
        <v>295</v>
      </c>
      <c r="B4" s="712" t="s">
        <v>372</v>
      </c>
      <c r="C4" s="713"/>
      <c r="D4" s="714"/>
      <c r="E4" s="719" t="s">
        <v>741</v>
      </c>
      <c r="F4" s="720"/>
      <c r="G4" s="719" t="s">
        <v>292</v>
      </c>
      <c r="H4" s="720"/>
      <c r="I4" s="719" t="s">
        <v>740</v>
      </c>
      <c r="J4" s="720"/>
      <c r="K4" s="719" t="s">
        <v>293</v>
      </c>
      <c r="L4" s="720"/>
      <c r="M4" s="719" t="s">
        <v>322</v>
      </c>
      <c r="N4" s="720"/>
      <c r="O4" s="719" t="s">
        <v>670</v>
      </c>
      <c r="P4" s="720"/>
    </row>
    <row r="5" spans="1:16" s="514" customFormat="1" ht="12.75" customHeight="1">
      <c r="A5" s="563" t="s">
        <v>296</v>
      </c>
      <c r="B5" s="580" t="s">
        <v>13</v>
      </c>
      <c r="C5" s="511" t="s">
        <v>83</v>
      </c>
      <c r="D5" s="597"/>
      <c r="E5" s="322" t="s">
        <v>81</v>
      </c>
      <c r="F5" s="322" t="s">
        <v>82</v>
      </c>
      <c r="G5" s="574" t="s">
        <v>81</v>
      </c>
      <c r="H5" s="250" t="s">
        <v>82</v>
      </c>
      <c r="I5" s="322" t="s">
        <v>81</v>
      </c>
      <c r="J5" s="322" t="s">
        <v>82</v>
      </c>
      <c r="K5" s="574" t="s">
        <v>81</v>
      </c>
      <c r="L5" s="250" t="s">
        <v>82</v>
      </c>
      <c r="M5" s="322" t="s">
        <v>81</v>
      </c>
      <c r="N5" s="250" t="s">
        <v>82</v>
      </c>
      <c r="O5" s="322" t="s">
        <v>81</v>
      </c>
      <c r="P5" s="250" t="s">
        <v>82</v>
      </c>
    </row>
    <row r="6" spans="1:16" s="514" customFormat="1" ht="13.5" customHeight="1">
      <c r="A6" s="564"/>
      <c r="B6" s="581" t="s">
        <v>14</v>
      </c>
      <c r="C6" s="511" t="s">
        <v>379</v>
      </c>
      <c r="D6" s="597" t="s">
        <v>84</v>
      </c>
      <c r="E6" s="322" t="s">
        <v>85</v>
      </c>
      <c r="F6" s="322" t="s">
        <v>297</v>
      </c>
      <c r="G6" s="574" t="s">
        <v>85</v>
      </c>
      <c r="H6" s="250" t="s">
        <v>297</v>
      </c>
      <c r="I6" s="322" t="s">
        <v>85</v>
      </c>
      <c r="J6" s="322" t="s">
        <v>297</v>
      </c>
      <c r="K6" s="574" t="s">
        <v>85</v>
      </c>
      <c r="L6" s="250" t="s">
        <v>297</v>
      </c>
      <c r="M6" s="322" t="s">
        <v>85</v>
      </c>
      <c r="N6" s="250" t="s">
        <v>297</v>
      </c>
      <c r="O6" s="322" t="s">
        <v>85</v>
      </c>
      <c r="P6" s="250" t="s">
        <v>297</v>
      </c>
    </row>
    <row r="7" spans="1:16" s="514" customFormat="1" ht="15">
      <c r="A7" s="553"/>
      <c r="B7" s="721" t="s">
        <v>373</v>
      </c>
      <c r="C7" s="722"/>
      <c r="D7" s="723"/>
      <c r="E7" s="543"/>
      <c r="F7" s="543"/>
      <c r="G7" s="656"/>
      <c r="H7" s="655"/>
      <c r="I7" s="543"/>
      <c r="J7" s="543"/>
      <c r="K7" s="656"/>
      <c r="L7" s="655"/>
      <c r="M7" s="543"/>
      <c r="N7" s="655"/>
      <c r="O7" s="543"/>
      <c r="P7" s="655"/>
    </row>
    <row r="8" spans="1:16" s="514" customFormat="1">
      <c r="A8" s="561">
        <v>7891721021220</v>
      </c>
      <c r="B8" s="583">
        <v>1008903350034</v>
      </c>
      <c r="C8" s="139" t="s">
        <v>579</v>
      </c>
      <c r="D8" s="594" t="s">
        <v>639</v>
      </c>
      <c r="E8" s="506">
        <f>ROUND(G8*1.025,2)</f>
        <v>901.51</v>
      </c>
      <c r="F8" s="506">
        <f>ROUND(E8/0.723358,2)</f>
        <v>1246.28</v>
      </c>
      <c r="G8" s="578">
        <v>879.52099200000009</v>
      </c>
      <c r="H8" s="562">
        <v>1215.8800000000001</v>
      </c>
      <c r="I8" s="506">
        <f>ROUND(G8*0.993939,2)</f>
        <v>874.19</v>
      </c>
      <c r="J8" s="506">
        <f>ROUND(I8/0.723358,2)</f>
        <v>1208.52</v>
      </c>
      <c r="K8" s="578">
        <f>ROUND(G8*0.987952,2)</f>
        <v>868.92</v>
      </c>
      <c r="L8" s="562">
        <f>ROUND(K8/0.723358,2)</f>
        <v>1201.23</v>
      </c>
      <c r="M8" s="506">
        <f>ROUND(G8*0.931818,2)</f>
        <v>819.55</v>
      </c>
      <c r="N8" s="562">
        <f t="shared" ref="N8:N9" si="0">ROUND(M8/0.723358,2)</f>
        <v>1132.98</v>
      </c>
      <c r="O8" s="506">
        <f>ROUND(G8*0.82,2)</f>
        <v>721.21</v>
      </c>
      <c r="P8" s="562">
        <f t="shared" ref="P8:P9" si="1">ROUND(O8/0.723358,2)</f>
        <v>997.03</v>
      </c>
    </row>
    <row r="9" spans="1:16" s="514" customFormat="1" ht="13.5" thickBot="1">
      <c r="A9" s="653">
        <v>7891721021213</v>
      </c>
      <c r="B9" s="587">
        <v>1008903350050</v>
      </c>
      <c r="C9" s="381" t="s">
        <v>580</v>
      </c>
      <c r="D9" s="657" t="s">
        <v>640</v>
      </c>
      <c r="E9" s="509">
        <f>ROUND(G9*1.025,2)</f>
        <v>4507.42</v>
      </c>
      <c r="F9" s="509">
        <f>ROUND(E9/0.723358,2)</f>
        <v>6231.24</v>
      </c>
      <c r="G9" s="579">
        <v>4397.4833280000003</v>
      </c>
      <c r="H9" s="658">
        <f>ROUND(G9/0.723358,2)</f>
        <v>6079.26</v>
      </c>
      <c r="I9" s="509">
        <f>ROUND(G9*0.993939,2)</f>
        <v>4370.83</v>
      </c>
      <c r="J9" s="509">
        <f>ROUND(I9/0.723358,2)</f>
        <v>6042.42</v>
      </c>
      <c r="K9" s="575">
        <f>ROUND(G9*0.987952,2)</f>
        <v>4344.5</v>
      </c>
      <c r="L9" s="658">
        <f>ROUND(K9/0.723358,2)</f>
        <v>6006.02</v>
      </c>
      <c r="M9" s="509">
        <f>ROUND(G9*0.931818,2)</f>
        <v>4097.6499999999996</v>
      </c>
      <c r="N9" s="658">
        <f t="shared" si="0"/>
        <v>5664.76</v>
      </c>
      <c r="O9" s="509">
        <f>ROUND(G9*0.82,2)</f>
        <v>3605.94</v>
      </c>
      <c r="P9" s="658">
        <f t="shared" si="1"/>
        <v>4985</v>
      </c>
    </row>
    <row r="11" spans="1:16" s="89" customFormat="1">
      <c r="A11" s="234"/>
      <c r="B11" s="372" t="s">
        <v>743</v>
      </c>
      <c r="C11" s="136"/>
      <c r="D11" s="92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6" s="89" customFormat="1">
      <c r="A12" s="234"/>
      <c r="B12" s="372" t="s">
        <v>744</v>
      </c>
      <c r="C12" s="136"/>
      <c r="D12" s="92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6" s="89" customFormat="1">
      <c r="A13" s="234"/>
      <c r="B13" s="372" t="s">
        <v>778</v>
      </c>
      <c r="C13" s="136"/>
      <c r="D13" s="92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6" s="89" customFormat="1">
      <c r="A14" s="234"/>
      <c r="B14" s="373"/>
      <c r="C14" s="136"/>
      <c r="D14" s="92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6" s="89" customFormat="1">
      <c r="A15" s="234"/>
      <c r="B15" s="136"/>
      <c r="C15" s="136"/>
      <c r="D15" s="9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6" s="89" customFormat="1" ht="26.25" customHeight="1">
      <c r="A16" s="228"/>
      <c r="B16" s="718" t="s">
        <v>681</v>
      </c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</row>
    <row r="17" spans="1:28" s="89" customFormat="1">
      <c r="A17" s="228"/>
      <c r="B17" s="138"/>
      <c r="C17" s="103"/>
      <c r="D17" s="102"/>
      <c r="E17" s="98"/>
      <c r="F17" s="98"/>
      <c r="H17" s="95"/>
      <c r="J17" s="96"/>
      <c r="L17" s="96"/>
      <c r="N17" s="96"/>
    </row>
    <row r="18" spans="1:28" s="89" customFormat="1">
      <c r="A18" s="228"/>
      <c r="B18" s="365" t="s">
        <v>782</v>
      </c>
      <c r="C18" s="97"/>
      <c r="D18" s="88"/>
      <c r="E18" s="98"/>
      <c r="F18" s="98"/>
      <c r="H18" s="95"/>
      <c r="J18" s="96"/>
      <c r="L18" s="96"/>
      <c r="N18" s="96"/>
      <c r="P18" s="96"/>
    </row>
    <row r="19" spans="1:28" s="89" customFormat="1">
      <c r="A19" s="228"/>
      <c r="B19" s="103"/>
      <c r="C19" s="97"/>
      <c r="D19" s="88"/>
      <c r="E19" s="98"/>
      <c r="F19" s="98"/>
      <c r="H19" s="95"/>
      <c r="J19" s="96"/>
      <c r="L19" s="96"/>
      <c r="N19" s="96"/>
      <c r="P19" s="96"/>
    </row>
    <row r="20" spans="1:28" s="89" customFormat="1">
      <c r="A20" s="228"/>
      <c r="B20" s="100" t="s">
        <v>777</v>
      </c>
      <c r="C20" s="97"/>
      <c r="D20" s="88"/>
      <c r="E20" s="98"/>
      <c r="F20" s="98"/>
      <c r="H20" s="95"/>
      <c r="J20" s="96"/>
      <c r="L20" s="96"/>
      <c r="N20" s="96"/>
      <c r="P20" s="96"/>
    </row>
    <row r="21" spans="1:28" s="89" customFormat="1">
      <c r="A21" s="228"/>
      <c r="B21" s="138"/>
      <c r="C21" s="336"/>
      <c r="D21" s="336"/>
      <c r="E21"/>
      <c r="F21" s="138"/>
      <c r="H21" s="95"/>
      <c r="J21" s="96"/>
      <c r="L21" s="96"/>
      <c r="N21" s="96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</row>
    <row r="22" spans="1:28" s="89" customFormat="1">
      <c r="A22" s="228"/>
      <c r="B22" s="138"/>
      <c r="C22" s="336"/>
      <c r="D22" s="336"/>
      <c r="E22"/>
      <c r="F22" s="138"/>
      <c r="H22" s="95"/>
      <c r="J22" s="96"/>
      <c r="L22" s="96"/>
      <c r="N22" s="96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</row>
    <row r="23" spans="1:28" s="89" customFormat="1">
      <c r="A23" s="228"/>
      <c r="B23" s="138"/>
      <c r="C23" s="336"/>
      <c r="D23" s="336"/>
      <c r="E23"/>
      <c r="F23" s="138"/>
      <c r="H23" s="95"/>
      <c r="J23" s="96"/>
      <c r="L23" s="96"/>
      <c r="N23" s="96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</row>
    <row r="24" spans="1:28" s="89" customFormat="1">
      <c r="A24" s="228"/>
      <c r="B24" s="138"/>
      <c r="C24" s="336"/>
      <c r="D24" s="336"/>
      <c r="E24"/>
      <c r="F24" s="138"/>
      <c r="H24" s="95"/>
      <c r="J24" s="96"/>
      <c r="L24" s="96"/>
      <c r="N24" s="96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</row>
    <row r="25" spans="1:28" s="89" customFormat="1">
      <c r="A25" s="228"/>
      <c r="B25" s="225"/>
      <c r="C25" s="103"/>
      <c r="D25" s="102"/>
      <c r="E25" s="98"/>
      <c r="F25" s="98"/>
      <c r="H25" s="95"/>
      <c r="J25" s="96"/>
      <c r="L25" s="96"/>
      <c r="N25" s="96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</row>
    <row r="26" spans="1:28" s="89" customFormat="1">
      <c r="A26" s="228"/>
      <c r="B26" s="225"/>
      <c r="C26" s="103"/>
      <c r="D26" s="102"/>
      <c r="E26" s="98"/>
      <c r="F26" s="98"/>
      <c r="H26" s="95"/>
      <c r="J26" s="96"/>
      <c r="L26" s="96"/>
      <c r="N26" s="96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</row>
    <row r="27" spans="1:28" s="89" customFormat="1">
      <c r="A27" s="228"/>
      <c r="B27" s="365"/>
      <c r="C27" s="366"/>
      <c r="D27" s="367"/>
      <c r="E27" s="368"/>
      <c r="F27" s="368"/>
      <c r="G27" s="369"/>
      <c r="H27" s="370"/>
      <c r="I27" s="369"/>
      <c r="J27" s="371"/>
      <c r="K27" s="369"/>
      <c r="L27" s="371"/>
      <c r="N27" s="96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</row>
    <row r="28" spans="1:28" s="89" customFormat="1">
      <c r="A28" s="228"/>
      <c r="B28" s="103"/>
      <c r="C28" s="97"/>
      <c r="D28" s="88"/>
      <c r="E28" s="98"/>
      <c r="F28" s="98"/>
      <c r="H28" s="95"/>
      <c r="J28" s="96"/>
      <c r="L28" s="96"/>
      <c r="N28" s="96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</row>
    <row r="29" spans="1:28" s="89" customFormat="1">
      <c r="A29" s="228"/>
      <c r="B29" s="100"/>
      <c r="C29" s="97"/>
      <c r="D29" s="88"/>
      <c r="E29" s="98"/>
      <c r="F29" s="98"/>
      <c r="H29" s="95"/>
      <c r="J29" s="96"/>
      <c r="L29" s="96"/>
      <c r="N29" s="96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</row>
  </sheetData>
  <mergeCells count="10">
    <mergeCell ref="A3:N3"/>
    <mergeCell ref="B16:N16"/>
    <mergeCell ref="O4:P4"/>
    <mergeCell ref="B7:D7"/>
    <mergeCell ref="B4:D4"/>
    <mergeCell ref="E4:F4"/>
    <mergeCell ref="G4:H4"/>
    <mergeCell ref="I4:J4"/>
    <mergeCell ref="K4:L4"/>
    <mergeCell ref="M4:N4"/>
  </mergeCells>
  <dataValidations count="1">
    <dataValidation type="textLength" operator="greaterThanOrEqual" allowBlank="1" showErrorMessage="1" promptTitle="Produto" prompt="Informar o nome do produto" sqref="A8:A9 A11:A15">
      <formula1>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2"/>
  <sheetViews>
    <sheetView workbookViewId="0">
      <selection activeCell="E46" sqref="E46"/>
    </sheetView>
  </sheetViews>
  <sheetFormatPr defaultRowHeight="12.75"/>
  <cols>
    <col min="1" max="1" width="15.5703125" customWidth="1"/>
    <col min="2" max="2" width="17.5703125" customWidth="1"/>
    <col min="3" max="3" width="13.140625" customWidth="1"/>
    <col min="4" max="4" width="55.42578125" customWidth="1"/>
    <col min="6" max="6" width="9.7109375" bestFit="1" customWidth="1"/>
    <col min="10" max="10" width="9.7109375" bestFit="1" customWidth="1"/>
    <col min="12" max="12" width="9.7109375" bestFit="1" customWidth="1"/>
    <col min="14" max="14" width="9.7109375" bestFit="1" customWidth="1"/>
  </cols>
  <sheetData>
    <row r="2" spans="1:14" ht="48.75" customHeight="1"/>
    <row r="3" spans="1:14" ht="18.75" thickBot="1">
      <c r="A3" s="698" t="s">
        <v>779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</row>
    <row r="4" spans="1:14" s="510" customFormat="1" ht="18.75" customHeight="1">
      <c r="A4" s="602" t="s">
        <v>295</v>
      </c>
      <c r="B4" s="712" t="s">
        <v>281</v>
      </c>
      <c r="C4" s="713"/>
      <c r="D4" s="714"/>
      <c r="E4" s="710" t="s">
        <v>741</v>
      </c>
      <c r="F4" s="711"/>
      <c r="G4" s="719" t="s">
        <v>292</v>
      </c>
      <c r="H4" s="720"/>
      <c r="I4" s="710" t="s">
        <v>740</v>
      </c>
      <c r="J4" s="711"/>
      <c r="K4" s="710" t="s">
        <v>293</v>
      </c>
      <c r="L4" s="711"/>
      <c r="M4" s="710" t="s">
        <v>322</v>
      </c>
      <c r="N4" s="711"/>
    </row>
    <row r="5" spans="1:14" s="514" customFormat="1" ht="12.75" customHeight="1">
      <c r="A5" s="558" t="s">
        <v>296</v>
      </c>
      <c r="B5" s="580" t="s">
        <v>13</v>
      </c>
      <c r="C5" s="511" t="s">
        <v>83</v>
      </c>
      <c r="D5" s="588"/>
      <c r="E5" s="512" t="s">
        <v>81</v>
      </c>
      <c r="F5" s="512" t="s">
        <v>82</v>
      </c>
      <c r="G5" s="608" t="s">
        <v>81</v>
      </c>
      <c r="H5" s="609" t="s">
        <v>82</v>
      </c>
      <c r="I5" s="512" t="s">
        <v>81</v>
      </c>
      <c r="J5" s="512" t="s">
        <v>82</v>
      </c>
      <c r="K5" s="568" t="s">
        <v>81</v>
      </c>
      <c r="L5" s="109" t="s">
        <v>82</v>
      </c>
      <c r="M5" s="512" t="s">
        <v>81</v>
      </c>
      <c r="N5" s="109" t="s">
        <v>82</v>
      </c>
    </row>
    <row r="6" spans="1:14" s="514" customFormat="1" ht="13.5" customHeight="1">
      <c r="A6" s="558"/>
      <c r="B6" s="581" t="s">
        <v>14</v>
      </c>
      <c r="C6" s="511" t="s">
        <v>379</v>
      </c>
      <c r="D6" s="588" t="s">
        <v>84</v>
      </c>
      <c r="E6" s="512" t="s">
        <v>85</v>
      </c>
      <c r="F6" s="512" t="s">
        <v>297</v>
      </c>
      <c r="G6" s="608" t="s">
        <v>85</v>
      </c>
      <c r="H6" s="609" t="s">
        <v>297</v>
      </c>
      <c r="I6" s="512" t="s">
        <v>85</v>
      </c>
      <c r="J6" s="512" t="s">
        <v>297</v>
      </c>
      <c r="K6" s="568" t="s">
        <v>85</v>
      </c>
      <c r="L6" s="109" t="s">
        <v>297</v>
      </c>
      <c r="M6" s="512" t="s">
        <v>85</v>
      </c>
      <c r="N6" s="109" t="s">
        <v>297</v>
      </c>
    </row>
    <row r="7" spans="1:14" s="514" customFormat="1" ht="15">
      <c r="A7" s="553"/>
      <c r="B7" s="585" t="s">
        <v>480</v>
      </c>
      <c r="C7" s="523"/>
      <c r="D7" s="593"/>
      <c r="E7" s="529"/>
      <c r="F7" s="529"/>
      <c r="G7" s="569"/>
      <c r="H7" s="505"/>
      <c r="I7" s="529"/>
      <c r="J7" s="529"/>
      <c r="K7" s="614"/>
      <c r="L7" s="603"/>
      <c r="M7" s="529"/>
      <c r="N7" s="603"/>
    </row>
    <row r="8" spans="1:14" s="514" customFormat="1">
      <c r="A8" s="561">
        <v>7891721022548</v>
      </c>
      <c r="B8" s="583">
        <v>1008903690013</v>
      </c>
      <c r="C8" s="139" t="s">
        <v>467</v>
      </c>
      <c r="D8" s="601" t="s">
        <v>610</v>
      </c>
      <c r="E8" s="531">
        <f>ROUND(G8*1.025,2)</f>
        <v>223.9</v>
      </c>
      <c r="F8" s="531">
        <f>ROUND(E8/0.723358,2)</f>
        <v>309.52999999999997</v>
      </c>
      <c r="G8" s="610">
        <v>218.44093599999999</v>
      </c>
      <c r="H8" s="611">
        <f>ROUND(G8/0.723358,2)</f>
        <v>301.98</v>
      </c>
      <c r="I8" s="531">
        <f>ROUND(G8*0.993939,2)</f>
        <v>217.12</v>
      </c>
      <c r="J8" s="531">
        <f>ROUND(I8/0.723358,2)</f>
        <v>300.16000000000003</v>
      </c>
      <c r="K8" s="616">
        <f>ROUND(G8*0.987952,2)</f>
        <v>215.81</v>
      </c>
      <c r="L8" s="605">
        <f>ROUND(K8/0.723358,2)</f>
        <v>298.33999999999997</v>
      </c>
      <c r="M8" s="531">
        <f>ROUND(G8*0.931818,2)</f>
        <v>203.55</v>
      </c>
      <c r="N8" s="605">
        <f t="shared" ref="N8" si="0">ROUND(M8/0.723358,2)</f>
        <v>281.39999999999998</v>
      </c>
    </row>
    <row r="9" spans="1:14" s="514" customFormat="1" ht="15">
      <c r="A9" s="553"/>
      <c r="B9" s="585" t="s">
        <v>481</v>
      </c>
      <c r="C9" s="523"/>
      <c r="D9" s="593"/>
      <c r="E9" s="529"/>
      <c r="F9" s="529"/>
      <c r="G9" s="569"/>
      <c r="H9" s="505"/>
      <c r="I9" s="529"/>
      <c r="J9" s="529"/>
      <c r="K9" s="614"/>
      <c r="L9" s="603"/>
      <c r="M9" s="529"/>
      <c r="N9" s="603"/>
    </row>
    <row r="10" spans="1:14" s="514" customFormat="1">
      <c r="A10" s="561">
        <v>7898106035643</v>
      </c>
      <c r="B10" s="583">
        <v>1008903650021</v>
      </c>
      <c r="C10" s="139" t="s">
        <v>468</v>
      </c>
      <c r="D10" s="601" t="s">
        <v>607</v>
      </c>
      <c r="E10" s="531">
        <f t="shared" ref="E10:E11" si="1">ROUND(G10*1.025,2)</f>
        <v>238.78</v>
      </c>
      <c r="F10" s="531">
        <f>ROUND(E10/0.723358,2)</f>
        <v>330.1</v>
      </c>
      <c r="G10" s="610">
        <v>232.95568800000004</v>
      </c>
      <c r="H10" s="611">
        <f>ROUND(G10/0.723358,2)</f>
        <v>322.05</v>
      </c>
      <c r="I10" s="531">
        <f>ROUND(G10*0.993939,2)</f>
        <v>231.54</v>
      </c>
      <c r="J10" s="531">
        <f>ROUND(I10/0.723358,2)</f>
        <v>320.08999999999997</v>
      </c>
      <c r="K10" s="616">
        <f>ROUND(G10*0.987952,2)</f>
        <v>230.15</v>
      </c>
      <c r="L10" s="605">
        <f>ROUND(K10/0.723358,2)</f>
        <v>318.17</v>
      </c>
      <c r="M10" s="531">
        <f>ROUND(G10*0.931818,2)</f>
        <v>217.07</v>
      </c>
      <c r="N10" s="605">
        <f t="shared" ref="N10:N32" si="2">ROUND(M10/0.723358,2)</f>
        <v>300.08999999999997</v>
      </c>
    </row>
    <row r="11" spans="1:14" s="514" customFormat="1">
      <c r="A11" s="561">
        <v>7898106035650</v>
      </c>
      <c r="B11" s="583">
        <v>1008903650011</v>
      </c>
      <c r="C11" s="139" t="s">
        <v>469</v>
      </c>
      <c r="D11" s="594" t="s">
        <v>608</v>
      </c>
      <c r="E11" s="531">
        <f t="shared" si="1"/>
        <v>433.17</v>
      </c>
      <c r="F11" s="531">
        <f>ROUND(E11/0.723358,2)</f>
        <v>598.83000000000004</v>
      </c>
      <c r="G11" s="610">
        <v>422.60024800000002</v>
      </c>
      <c r="H11" s="611">
        <f t="shared" ref="H11" si="3">ROUND(G11/0.723358,2)</f>
        <v>584.22</v>
      </c>
      <c r="I11" s="531">
        <f>ROUND(G11*0.993939,2)</f>
        <v>420.04</v>
      </c>
      <c r="J11" s="531">
        <f>ROUND(I11/0.723358,2)</f>
        <v>580.67999999999995</v>
      </c>
      <c r="K11" s="616">
        <f>ROUND(G11*0.987952,2)</f>
        <v>417.51</v>
      </c>
      <c r="L11" s="605">
        <f>ROUND(K11/0.723358,2)</f>
        <v>577.17999999999995</v>
      </c>
      <c r="M11" s="531">
        <f>ROUND(G11*0.931818,2)</f>
        <v>393.79</v>
      </c>
      <c r="N11" s="605">
        <f t="shared" si="2"/>
        <v>544.39</v>
      </c>
    </row>
    <row r="12" spans="1:14" s="514" customFormat="1" ht="15">
      <c r="A12" s="553"/>
      <c r="B12" s="585" t="s">
        <v>576</v>
      </c>
      <c r="C12" s="523"/>
      <c r="D12" s="593"/>
      <c r="E12" s="529"/>
      <c r="F12" s="529"/>
      <c r="G12" s="569"/>
      <c r="H12" s="505"/>
      <c r="I12" s="529"/>
      <c r="J12" s="529"/>
      <c r="K12" s="614"/>
      <c r="L12" s="603"/>
      <c r="M12" s="529"/>
      <c r="N12" s="603"/>
    </row>
    <row r="13" spans="1:14" s="514" customFormat="1">
      <c r="A13" s="561">
        <v>7898106031973</v>
      </c>
      <c r="B13" s="583">
        <v>1008903630010</v>
      </c>
      <c r="C13" s="139" t="s">
        <v>470</v>
      </c>
      <c r="D13" s="594" t="s">
        <v>471</v>
      </c>
      <c r="E13" s="531">
        <f t="shared" ref="E13:E16" si="4">ROUND(G13*1.025,2)</f>
        <v>179.5</v>
      </c>
      <c r="F13" s="531">
        <f>ROUND(E13/0.723358,2)</f>
        <v>248.15</v>
      </c>
      <c r="G13" s="610">
        <v>175.11967200000001</v>
      </c>
      <c r="H13" s="611">
        <f t="shared" ref="H13:H16" si="5">ROUND(G13/0.723358,2)</f>
        <v>242.09</v>
      </c>
      <c r="I13" s="531">
        <f>ROUND(G13*0.993939,2)</f>
        <v>174.06</v>
      </c>
      <c r="J13" s="531">
        <f>ROUND(I13/0.723358,2)</f>
        <v>240.63</v>
      </c>
      <c r="K13" s="616">
        <f>ROUND(G13*0.987952,2)</f>
        <v>173.01</v>
      </c>
      <c r="L13" s="605">
        <f>ROUND(K13/0.723358,2)</f>
        <v>239.18</v>
      </c>
      <c r="M13" s="531">
        <f>ROUND(G13*0.931818,2)</f>
        <v>163.18</v>
      </c>
      <c r="N13" s="605">
        <f t="shared" si="2"/>
        <v>225.59</v>
      </c>
    </row>
    <row r="14" spans="1:14" s="514" customFormat="1">
      <c r="A14" s="561">
        <v>7891721027802</v>
      </c>
      <c r="B14" s="583">
        <v>1008903630096</v>
      </c>
      <c r="C14" s="139" t="s">
        <v>773</v>
      </c>
      <c r="D14" s="594" t="s">
        <v>675</v>
      </c>
      <c r="E14" s="531">
        <f t="shared" si="4"/>
        <v>717.99</v>
      </c>
      <c r="F14" s="531">
        <f>ROUND(E14/0.723358,2)</f>
        <v>992.58</v>
      </c>
      <c r="G14" s="610">
        <v>700.47868800000003</v>
      </c>
      <c r="H14" s="611">
        <f>ROUND(G14/0.723358,2)</f>
        <v>968.37</v>
      </c>
      <c r="I14" s="531">
        <f>ROUND(G14*0.993939,2)</f>
        <v>696.23</v>
      </c>
      <c r="J14" s="531">
        <f>ROUND(I14/0.723358,2)</f>
        <v>962.5</v>
      </c>
      <c r="K14" s="616">
        <f>ROUND(G14*0.987952,2)</f>
        <v>692.04</v>
      </c>
      <c r="L14" s="605">
        <f>ROUND(K14/0.723358,2)</f>
        <v>956.7</v>
      </c>
      <c r="M14" s="531">
        <f>ROUND(G14*0.931818,2)</f>
        <v>652.72</v>
      </c>
      <c r="N14" s="605">
        <f t="shared" si="2"/>
        <v>902.35</v>
      </c>
    </row>
    <row r="15" spans="1:14" s="514" customFormat="1">
      <c r="A15" s="561">
        <v>7891721027819</v>
      </c>
      <c r="B15" s="583">
        <v>1008903630101</v>
      </c>
      <c r="C15" s="139" t="s">
        <v>774</v>
      </c>
      <c r="D15" s="594" t="s">
        <v>676</v>
      </c>
      <c r="E15" s="531">
        <f t="shared" si="4"/>
        <v>1077.02</v>
      </c>
      <c r="F15" s="531">
        <f>ROUND(E15/0.723358,2)</f>
        <v>1488.92</v>
      </c>
      <c r="G15" s="610">
        <v>1050.7484400000001</v>
      </c>
      <c r="H15" s="611">
        <f t="shared" si="5"/>
        <v>1452.6</v>
      </c>
      <c r="I15" s="531">
        <f>ROUND(G15*0.993939,2)</f>
        <v>1044.3800000000001</v>
      </c>
      <c r="J15" s="531">
        <f>ROUND(I15/0.723358,2)</f>
        <v>1443.79</v>
      </c>
      <c r="K15" s="616">
        <f>ROUND(G15*0.987952,2)</f>
        <v>1038.0899999999999</v>
      </c>
      <c r="L15" s="605">
        <f>ROUND(K15/0.723358,2)</f>
        <v>1435.1</v>
      </c>
      <c r="M15" s="531">
        <f>ROUND(G15*0.931818,2)</f>
        <v>979.11</v>
      </c>
      <c r="N15" s="605">
        <f t="shared" si="2"/>
        <v>1353.56</v>
      </c>
    </row>
    <row r="16" spans="1:14" s="514" customFormat="1">
      <c r="A16" s="561">
        <v>7891721027826</v>
      </c>
      <c r="B16" s="583">
        <v>1008903630118</v>
      </c>
      <c r="C16" s="139" t="s">
        <v>775</v>
      </c>
      <c r="D16" s="594" t="s">
        <v>677</v>
      </c>
      <c r="E16" s="531">
        <f t="shared" si="4"/>
        <v>2154.02</v>
      </c>
      <c r="F16" s="531">
        <f>ROUND(E16/0.723358,2)</f>
        <v>2977.81</v>
      </c>
      <c r="G16" s="610">
        <v>2101.4867440000003</v>
      </c>
      <c r="H16" s="611">
        <f t="shared" si="5"/>
        <v>2905.18</v>
      </c>
      <c r="I16" s="531">
        <f>ROUND(G16*0.993939,2)</f>
        <v>2088.75</v>
      </c>
      <c r="J16" s="531">
        <f>ROUND(I16/0.723358,2)</f>
        <v>2887.57</v>
      </c>
      <c r="K16" s="616">
        <f>ROUND(G16*0.987952,2)</f>
        <v>2076.17</v>
      </c>
      <c r="L16" s="605">
        <f>ROUND(K16/0.723358,2)</f>
        <v>2870.18</v>
      </c>
      <c r="M16" s="531">
        <f>ROUND(G16*0.931818,2)</f>
        <v>1958.2</v>
      </c>
      <c r="N16" s="605">
        <f t="shared" si="2"/>
        <v>2707.1</v>
      </c>
    </row>
    <row r="17" spans="1:14" s="514" customFormat="1" ht="15">
      <c r="A17" s="553"/>
      <c r="B17" s="585" t="s">
        <v>482</v>
      </c>
      <c r="C17" s="523"/>
      <c r="D17" s="593"/>
      <c r="E17" s="529"/>
      <c r="F17" s="529"/>
      <c r="G17" s="569"/>
      <c r="H17" s="505"/>
      <c r="I17" s="529"/>
      <c r="J17" s="529"/>
      <c r="K17" s="614"/>
      <c r="L17" s="603"/>
      <c r="M17" s="529"/>
      <c r="N17" s="603"/>
    </row>
    <row r="18" spans="1:14" s="514" customFormat="1">
      <c r="A18" s="561">
        <v>7891721023606</v>
      </c>
      <c r="B18" s="583">
        <v>1008903540011</v>
      </c>
      <c r="C18" s="139" t="s">
        <v>472</v>
      </c>
      <c r="D18" s="601" t="s">
        <v>473</v>
      </c>
      <c r="E18" s="531">
        <f>ROUND(G18*1.025,2)</f>
        <v>132.19</v>
      </c>
      <c r="F18" s="531">
        <f>ROUND(E18/0.723358,2)</f>
        <v>182.74</v>
      </c>
      <c r="G18" s="610">
        <v>128.97046399999999</v>
      </c>
      <c r="H18" s="611">
        <f>ROUND(G18/0.723358,2)</f>
        <v>178.29</v>
      </c>
      <c r="I18" s="531">
        <f>ROUND(G18*0.993939,2)</f>
        <v>128.19</v>
      </c>
      <c r="J18" s="531">
        <f>ROUND(I18/0.723358,2)</f>
        <v>177.22</v>
      </c>
      <c r="K18" s="616">
        <f>ROUND(G18*0.987952,2)</f>
        <v>127.42</v>
      </c>
      <c r="L18" s="605">
        <f>ROUND(K18/0.723358,2)</f>
        <v>176.15</v>
      </c>
      <c r="M18" s="531">
        <f>ROUND(G18*0.931818,2)</f>
        <v>120.18</v>
      </c>
      <c r="N18" s="605">
        <f t="shared" si="2"/>
        <v>166.14</v>
      </c>
    </row>
    <row r="19" spans="1:14" s="514" customFormat="1" ht="15">
      <c r="A19" s="553"/>
      <c r="B19" s="585" t="s">
        <v>483</v>
      </c>
      <c r="C19" s="523"/>
      <c r="D19" s="593"/>
      <c r="E19" s="529"/>
      <c r="F19" s="529"/>
      <c r="G19" s="569"/>
      <c r="H19" s="505"/>
      <c r="I19" s="529"/>
      <c r="J19" s="529"/>
      <c r="K19" s="614"/>
      <c r="L19" s="603"/>
      <c r="M19" s="529"/>
      <c r="N19" s="603"/>
    </row>
    <row r="20" spans="1:14" s="514" customFormat="1">
      <c r="A20" s="561">
        <v>7891721027963</v>
      </c>
      <c r="B20" s="583">
        <v>1008903760054</v>
      </c>
      <c r="C20" s="139" t="s">
        <v>704</v>
      </c>
      <c r="D20" s="594" t="s">
        <v>703</v>
      </c>
      <c r="E20" s="531">
        <f t="shared" ref="E20" si="6">ROUND(G20*1.025,2)</f>
        <v>320.33999999999997</v>
      </c>
      <c r="F20" s="531">
        <f>ROUND(E20/0.723358,2)</f>
        <v>442.85</v>
      </c>
      <c r="G20" s="610">
        <v>312.52328799999998</v>
      </c>
      <c r="H20" s="611">
        <v>432.04</v>
      </c>
      <c r="I20" s="531">
        <f>ROUND(G20*0.993939,2)</f>
        <v>310.63</v>
      </c>
      <c r="J20" s="531">
        <f>ROUND(I20/0.723358,2)</f>
        <v>429.43</v>
      </c>
      <c r="K20" s="616">
        <f>ROUND(G20*0.987952,2)</f>
        <v>308.76</v>
      </c>
      <c r="L20" s="605">
        <f>ROUND(K20/0.723358,2)</f>
        <v>426.84</v>
      </c>
      <c r="M20" s="531">
        <f>ROUND(G20*0.931818,2)</f>
        <v>291.20999999999998</v>
      </c>
      <c r="N20" s="605">
        <f t="shared" si="2"/>
        <v>402.58</v>
      </c>
    </row>
    <row r="21" spans="1:14" s="514" customFormat="1" ht="15">
      <c r="A21" s="553"/>
      <c r="B21" s="585" t="s">
        <v>484</v>
      </c>
      <c r="C21" s="523"/>
      <c r="D21" s="593"/>
      <c r="E21" s="529"/>
      <c r="F21" s="529"/>
      <c r="G21" s="569"/>
      <c r="H21" s="505"/>
      <c r="I21" s="529"/>
      <c r="J21" s="529"/>
      <c r="K21" s="614"/>
      <c r="L21" s="603"/>
      <c r="M21" s="529"/>
      <c r="N21" s="603"/>
    </row>
    <row r="22" spans="1:14" s="514" customFormat="1">
      <c r="A22" s="561">
        <v>7891721022418</v>
      </c>
      <c r="B22" s="583">
        <v>1008903510023</v>
      </c>
      <c r="C22" s="139" t="s">
        <v>548</v>
      </c>
      <c r="D22" s="601" t="s">
        <v>635</v>
      </c>
      <c r="E22" s="531">
        <f>G22</f>
        <v>8753.2975600000009</v>
      </c>
      <c r="F22" s="531">
        <f>H22</f>
        <v>12100.92</v>
      </c>
      <c r="G22" s="610">
        <v>8753.2975600000009</v>
      </c>
      <c r="H22" s="611">
        <f>ROUND(G22/0.723358,2)</f>
        <v>12100.92</v>
      </c>
      <c r="I22" s="531">
        <f>ROUND(G22*0.993939,2)</f>
        <v>8700.24</v>
      </c>
      <c r="J22" s="531">
        <f>ROUND(I22/0.723358,2)</f>
        <v>12027.57</v>
      </c>
      <c r="K22" s="616">
        <f>ROUND(G22*0.987952,2)</f>
        <v>8647.84</v>
      </c>
      <c r="L22" s="605">
        <f>ROUND(K22/0.723358,2)</f>
        <v>11955.13</v>
      </c>
      <c r="M22" s="531">
        <f>ROUND(G22*0.931818,2)</f>
        <v>8156.48</v>
      </c>
      <c r="N22" s="605">
        <f t="shared" si="2"/>
        <v>11275.86</v>
      </c>
    </row>
    <row r="23" spans="1:14" s="514" customFormat="1">
      <c r="A23" s="561">
        <v>7891721022425</v>
      </c>
      <c r="B23" s="583">
        <v>1008903510041</v>
      </c>
      <c r="C23" s="139" t="s">
        <v>549</v>
      </c>
      <c r="D23" s="594" t="s">
        <v>636</v>
      </c>
      <c r="E23" s="531">
        <f>G23</f>
        <v>9958.3666000000012</v>
      </c>
      <c r="F23" s="531">
        <f>H23</f>
        <v>13766.86</v>
      </c>
      <c r="G23" s="610">
        <v>9958.3666000000012</v>
      </c>
      <c r="H23" s="611">
        <f t="shared" ref="H23" si="7">ROUND(G23/0.723358,2)</f>
        <v>13766.86</v>
      </c>
      <c r="I23" s="531">
        <f>ROUND(G23*0.993939,2)</f>
        <v>9898.01</v>
      </c>
      <c r="J23" s="531">
        <f>ROUND(I23/0.723358,2)</f>
        <v>13683.42</v>
      </c>
      <c r="K23" s="616">
        <f>ROUND(G23*0.987952,2)</f>
        <v>9838.39</v>
      </c>
      <c r="L23" s="605">
        <f>ROUND(K23/0.723358,2)</f>
        <v>13601</v>
      </c>
      <c r="M23" s="531">
        <v>9279.3799999999992</v>
      </c>
      <c r="N23" s="605">
        <f t="shared" si="2"/>
        <v>12828.2</v>
      </c>
    </row>
    <row r="24" spans="1:14" s="514" customFormat="1" ht="15">
      <c r="A24" s="553"/>
      <c r="B24" s="585" t="s">
        <v>485</v>
      </c>
      <c r="C24" s="523"/>
      <c r="D24" s="593"/>
      <c r="E24" s="529"/>
      <c r="F24" s="529"/>
      <c r="G24" s="569"/>
      <c r="H24" s="505"/>
      <c r="I24" s="529"/>
      <c r="J24" s="529"/>
      <c r="K24" s="614"/>
      <c r="L24" s="603"/>
      <c r="M24" s="529"/>
      <c r="N24" s="603"/>
    </row>
    <row r="25" spans="1:14" s="514" customFormat="1">
      <c r="A25" s="561">
        <v>7891721022463</v>
      </c>
      <c r="B25" s="583">
        <v>1008903500011</v>
      </c>
      <c r="C25" s="139" t="s">
        <v>474</v>
      </c>
      <c r="D25" s="594" t="s">
        <v>637</v>
      </c>
      <c r="E25" s="531">
        <f>G25</f>
        <v>120.75</v>
      </c>
      <c r="F25" s="531">
        <f>H25</f>
        <v>166.93</v>
      </c>
      <c r="G25" s="610">
        <v>120.75</v>
      </c>
      <c r="H25" s="611">
        <f t="shared" ref="H25:H29" si="8">ROUND(G25/0.723358,2)</f>
        <v>166.93</v>
      </c>
      <c r="I25" s="531">
        <f>ROUND(G25*0.993939,2)</f>
        <v>120.02</v>
      </c>
      <c r="J25" s="531">
        <f>ROUND(I25/0.723358,2)</f>
        <v>165.92</v>
      </c>
      <c r="K25" s="616">
        <f>ROUND(G25*0.987952,2)</f>
        <v>119.3</v>
      </c>
      <c r="L25" s="605">
        <f>ROUND(K25/0.723358,2)</f>
        <v>164.93</v>
      </c>
      <c r="M25" s="531">
        <f>ROUND(G25*0.931818,2)</f>
        <v>112.52</v>
      </c>
      <c r="N25" s="605">
        <f t="shared" si="2"/>
        <v>155.55000000000001</v>
      </c>
    </row>
    <row r="26" spans="1:14" s="514" customFormat="1">
      <c r="A26" s="561">
        <v>7891721022470</v>
      </c>
      <c r="B26" s="583">
        <v>1008903500028</v>
      </c>
      <c r="C26" s="139" t="s">
        <v>475</v>
      </c>
      <c r="D26" s="594" t="s">
        <v>476</v>
      </c>
      <c r="E26" s="531">
        <f t="shared" ref="E26:E29" si="9">ROUND(G26*1.025,2)</f>
        <v>729.75</v>
      </c>
      <c r="F26" s="531">
        <f>ROUND(E26/0.723358,2)</f>
        <v>1008.84</v>
      </c>
      <c r="G26" s="610">
        <v>711.95</v>
      </c>
      <c r="H26" s="611">
        <f t="shared" si="8"/>
        <v>984.23</v>
      </c>
      <c r="I26" s="531">
        <f>ROUND(G26*0.993939,2)</f>
        <v>707.63</v>
      </c>
      <c r="J26" s="531">
        <f>ROUND(I26/0.723358,2)</f>
        <v>978.26</v>
      </c>
      <c r="K26" s="616">
        <f>ROUND(G26*0.987952,2)</f>
        <v>703.37</v>
      </c>
      <c r="L26" s="605">
        <f>ROUND(K26/0.723358,2)</f>
        <v>972.37</v>
      </c>
      <c r="M26" s="531">
        <f>ROUND(G26*0.931818,2)</f>
        <v>663.41</v>
      </c>
      <c r="N26" s="605">
        <f t="shared" si="2"/>
        <v>917.13</v>
      </c>
    </row>
    <row r="27" spans="1:14" s="514" customFormat="1">
      <c r="A27" s="561">
        <v>7891721026263</v>
      </c>
      <c r="B27" s="583">
        <v>1008903500044</v>
      </c>
      <c r="C27" s="139" t="s">
        <v>695</v>
      </c>
      <c r="D27" s="594" t="s">
        <v>691</v>
      </c>
      <c r="E27" s="531">
        <f t="shared" si="9"/>
        <v>552.83000000000004</v>
      </c>
      <c r="F27" s="531">
        <f>ROUND(E27/0.723358,2)</f>
        <v>764.26</v>
      </c>
      <c r="G27" s="610">
        <v>539.35</v>
      </c>
      <c r="H27" s="611">
        <f t="shared" si="8"/>
        <v>745.62</v>
      </c>
      <c r="I27" s="531">
        <f>ROUND(G27*0.993939,2)</f>
        <v>536.08000000000004</v>
      </c>
      <c r="J27" s="531">
        <f>ROUND(I27/0.723358,2)</f>
        <v>741.1</v>
      </c>
      <c r="K27" s="616">
        <f>ROUND(G27*0.987952,2)</f>
        <v>532.85</v>
      </c>
      <c r="L27" s="605">
        <f>ROUND(K27/0.723358,2)</f>
        <v>736.63</v>
      </c>
      <c r="M27" s="531">
        <f>ROUND(G27*0.931818,2)</f>
        <v>502.58</v>
      </c>
      <c r="N27" s="605">
        <f t="shared" si="2"/>
        <v>694.79</v>
      </c>
    </row>
    <row r="28" spans="1:14" s="514" customFormat="1">
      <c r="A28" s="561">
        <v>7891721026270</v>
      </c>
      <c r="B28" s="583">
        <v>1008903500052</v>
      </c>
      <c r="C28" s="139" t="s">
        <v>696</v>
      </c>
      <c r="D28" s="594" t="s">
        <v>692</v>
      </c>
      <c r="E28" s="531">
        <f t="shared" si="9"/>
        <v>1105.67</v>
      </c>
      <c r="F28" s="531">
        <f>ROUND(E28/0.723358,2)</f>
        <v>1528.52</v>
      </c>
      <c r="G28" s="610">
        <v>1078.7</v>
      </c>
      <c r="H28" s="611">
        <f t="shared" si="8"/>
        <v>1491.24</v>
      </c>
      <c r="I28" s="531">
        <f>ROUND(G28*0.993939,2)</f>
        <v>1072.1600000000001</v>
      </c>
      <c r="J28" s="531">
        <f>ROUND(I28/0.723358,2)</f>
        <v>1482.2</v>
      </c>
      <c r="K28" s="616">
        <f>ROUND(G28*0.987952,2)</f>
        <v>1065.7</v>
      </c>
      <c r="L28" s="605">
        <f>ROUND(K28/0.723358,2)</f>
        <v>1473.27</v>
      </c>
      <c r="M28" s="531">
        <f>ROUND(G28*0.931818,2)</f>
        <v>1005.15</v>
      </c>
      <c r="N28" s="605">
        <f t="shared" si="2"/>
        <v>1389.56</v>
      </c>
    </row>
    <row r="29" spans="1:14" s="514" customFormat="1">
      <c r="A29" s="561">
        <v>7891721026287</v>
      </c>
      <c r="B29" s="583">
        <v>1008903500060</v>
      </c>
      <c r="C29" s="139" t="s">
        <v>694</v>
      </c>
      <c r="D29" s="594" t="s">
        <v>693</v>
      </c>
      <c r="E29" s="531">
        <f t="shared" si="9"/>
        <v>1842.78</v>
      </c>
      <c r="F29" s="531">
        <f>ROUND(E29/0.723358,2)</f>
        <v>2547.54</v>
      </c>
      <c r="G29" s="610">
        <v>1797.83</v>
      </c>
      <c r="H29" s="611">
        <f t="shared" si="8"/>
        <v>2485.39</v>
      </c>
      <c r="I29" s="531">
        <f>ROUND(G29*0.993939,2)</f>
        <v>1786.93</v>
      </c>
      <c r="J29" s="531">
        <f>ROUND(I29/0.723358,2)</f>
        <v>2470.33</v>
      </c>
      <c r="K29" s="616">
        <f>ROUND(G29*0.987952,2)</f>
        <v>1776.17</v>
      </c>
      <c r="L29" s="605">
        <f>ROUND(K29/0.723358,2)</f>
        <v>2455.4499999999998</v>
      </c>
      <c r="M29" s="531">
        <f>ROUND(G29*0.931818,2)</f>
        <v>1675.25</v>
      </c>
      <c r="N29" s="605">
        <f t="shared" si="2"/>
        <v>2315.9299999999998</v>
      </c>
    </row>
    <row r="30" spans="1:14" s="514" customFormat="1" ht="15">
      <c r="A30" s="553"/>
      <c r="B30" s="585" t="s">
        <v>487</v>
      </c>
      <c r="C30" s="523"/>
      <c r="D30" s="593"/>
      <c r="E30" s="529"/>
      <c r="F30" s="529"/>
      <c r="G30" s="569"/>
      <c r="H30" s="505"/>
      <c r="I30" s="529"/>
      <c r="J30" s="529"/>
      <c r="K30" s="614"/>
      <c r="L30" s="603"/>
      <c r="M30" s="529"/>
      <c r="N30" s="603"/>
    </row>
    <row r="31" spans="1:14" s="514" customFormat="1">
      <c r="A31" s="561">
        <v>7891721022449</v>
      </c>
      <c r="B31" s="583">
        <v>1008903520010</v>
      </c>
      <c r="C31" s="139" t="s">
        <v>478</v>
      </c>
      <c r="D31" s="601" t="s">
        <v>644</v>
      </c>
      <c r="E31" s="531">
        <f t="shared" ref="E31:E32" si="10">ROUND(G31*1.025,2)</f>
        <v>39.01</v>
      </c>
      <c r="F31" s="531">
        <f>ROUND(E31/0.723358,2)</f>
        <v>53.93</v>
      </c>
      <c r="G31" s="610">
        <v>38.060679999999998</v>
      </c>
      <c r="H31" s="611">
        <f t="shared" ref="H31:H32" si="11">ROUND(G31/0.723358,2)</f>
        <v>52.62</v>
      </c>
      <c r="I31" s="531">
        <f>ROUND(G31*0.993939,2)</f>
        <v>37.83</v>
      </c>
      <c r="J31" s="531">
        <f>ROUND(I31/0.723358,2)</f>
        <v>52.3</v>
      </c>
      <c r="K31" s="616">
        <f>ROUND(G31*0.987952,2)</f>
        <v>37.6</v>
      </c>
      <c r="L31" s="605">
        <f>ROUND(K31/0.723358,2)</f>
        <v>51.98</v>
      </c>
      <c r="M31" s="531">
        <v>35.46</v>
      </c>
      <c r="N31" s="605">
        <f t="shared" si="2"/>
        <v>49.02</v>
      </c>
    </row>
    <row r="32" spans="1:14" s="514" customFormat="1">
      <c r="A32" s="561">
        <v>7891721022456</v>
      </c>
      <c r="B32" s="583">
        <v>1008903520029</v>
      </c>
      <c r="C32" s="139" t="s">
        <v>479</v>
      </c>
      <c r="D32" s="594" t="s">
        <v>645</v>
      </c>
      <c r="E32" s="531">
        <f t="shared" si="10"/>
        <v>103.32</v>
      </c>
      <c r="F32" s="531">
        <f>ROUND(E32/0.723358,2)</f>
        <v>142.83000000000001</v>
      </c>
      <c r="G32" s="610">
        <v>100.80252000000002</v>
      </c>
      <c r="H32" s="611">
        <f t="shared" si="11"/>
        <v>139.35</v>
      </c>
      <c r="I32" s="531">
        <f>ROUND(G32*0.993939,2)</f>
        <v>100.19</v>
      </c>
      <c r="J32" s="531">
        <f>ROUND(I32/0.723358,2)</f>
        <v>138.51</v>
      </c>
      <c r="K32" s="616">
        <f>ROUND(G32*0.987952,2)</f>
        <v>99.59</v>
      </c>
      <c r="L32" s="605">
        <f>ROUND(K32/0.723358,2)</f>
        <v>137.68</v>
      </c>
      <c r="M32" s="531">
        <f>ROUND(G32*0.931818,2)</f>
        <v>93.93</v>
      </c>
      <c r="N32" s="605">
        <f t="shared" si="2"/>
        <v>129.85</v>
      </c>
    </row>
    <row r="33" spans="1:28" s="514" customFormat="1" ht="15">
      <c r="A33" s="553"/>
      <c r="B33" s="585" t="s">
        <v>486</v>
      </c>
      <c r="C33" s="523"/>
      <c r="D33" s="593"/>
      <c r="E33" s="529"/>
      <c r="F33" s="529"/>
      <c r="G33" s="569"/>
      <c r="H33" s="505"/>
      <c r="I33" s="529"/>
      <c r="J33" s="529"/>
      <c r="K33" s="614"/>
      <c r="L33" s="603"/>
      <c r="M33" s="529"/>
      <c r="N33" s="603"/>
    </row>
    <row r="34" spans="1:28" s="514" customFormat="1">
      <c r="A34" s="565">
        <v>7898106030556</v>
      </c>
      <c r="B34" s="583">
        <v>1008903820014</v>
      </c>
      <c r="C34" s="139" t="s">
        <v>477</v>
      </c>
      <c r="D34" s="601" t="s">
        <v>638</v>
      </c>
      <c r="E34" s="531">
        <f>ROUND(G34*1.025,2)</f>
        <v>813.01</v>
      </c>
      <c r="F34" s="533" t="s">
        <v>563</v>
      </c>
      <c r="G34" s="610">
        <v>793.18254400000001</v>
      </c>
      <c r="H34" s="612">
        <v>0</v>
      </c>
      <c r="I34" s="531">
        <v>788.37</v>
      </c>
      <c r="J34" s="533" t="s">
        <v>563</v>
      </c>
      <c r="K34" s="616">
        <f>ROUND(G34*0.987952,2)</f>
        <v>783.63</v>
      </c>
      <c r="L34" s="606" t="s">
        <v>563</v>
      </c>
      <c r="M34" s="531">
        <f>ROUND(G34*0.931818,2)</f>
        <v>739.1</v>
      </c>
      <c r="N34" s="606" t="s">
        <v>563</v>
      </c>
    </row>
    <row r="35" spans="1:28" s="514" customFormat="1">
      <c r="A35" s="623"/>
      <c r="B35" s="624"/>
      <c r="C35" s="625"/>
      <c r="D35" s="626"/>
      <c r="E35" s="627"/>
      <c r="F35" s="628"/>
      <c r="G35" s="629"/>
      <c r="H35" s="630"/>
      <c r="I35" s="627"/>
      <c r="J35" s="628"/>
      <c r="K35" s="631"/>
      <c r="L35" s="632"/>
      <c r="M35" s="627"/>
      <c r="N35" s="632"/>
    </row>
    <row r="36" spans="1:28" s="514" customFormat="1" ht="18.75" customHeight="1">
      <c r="A36" s="558" t="s">
        <v>295</v>
      </c>
      <c r="B36" s="707" t="s">
        <v>294</v>
      </c>
      <c r="C36" s="708"/>
      <c r="D36" s="709"/>
      <c r="E36" s="702" t="s">
        <v>741</v>
      </c>
      <c r="F36" s="703"/>
      <c r="G36" s="724" t="s">
        <v>292</v>
      </c>
      <c r="H36" s="725"/>
      <c r="I36" s="702" t="s">
        <v>740</v>
      </c>
      <c r="J36" s="703"/>
      <c r="K36" s="702" t="s">
        <v>293</v>
      </c>
      <c r="L36" s="703"/>
      <c r="M36" s="702" t="s">
        <v>322</v>
      </c>
      <c r="N36" s="703"/>
    </row>
    <row r="37" spans="1:28" s="514" customFormat="1" ht="12.75" customHeight="1">
      <c r="A37" s="558" t="s">
        <v>296</v>
      </c>
      <c r="B37" s="580" t="s">
        <v>13</v>
      </c>
      <c r="C37" s="511" t="s">
        <v>83</v>
      </c>
      <c r="D37" s="588"/>
      <c r="E37" s="534" t="s">
        <v>81</v>
      </c>
      <c r="F37" s="534" t="s">
        <v>82</v>
      </c>
      <c r="G37" s="613" t="s">
        <v>81</v>
      </c>
      <c r="H37" s="201" t="s">
        <v>82</v>
      </c>
      <c r="I37" s="534" t="s">
        <v>81</v>
      </c>
      <c r="J37" s="534" t="s">
        <v>82</v>
      </c>
      <c r="K37" s="613" t="s">
        <v>81</v>
      </c>
      <c r="L37" s="201" t="s">
        <v>82</v>
      </c>
      <c r="M37" s="534" t="s">
        <v>81</v>
      </c>
      <c r="N37" s="201" t="s">
        <v>82</v>
      </c>
    </row>
    <row r="38" spans="1:28" s="514" customFormat="1" ht="13.5" customHeight="1">
      <c r="A38" s="559"/>
      <c r="B38" s="581" t="s">
        <v>14</v>
      </c>
      <c r="C38" s="511" t="s">
        <v>379</v>
      </c>
      <c r="D38" s="588" t="s">
        <v>84</v>
      </c>
      <c r="E38" s="534" t="s">
        <v>85</v>
      </c>
      <c r="F38" s="534" t="s">
        <v>297</v>
      </c>
      <c r="G38" s="613" t="s">
        <v>85</v>
      </c>
      <c r="H38" s="201" t="s">
        <v>297</v>
      </c>
      <c r="I38" s="534" t="s">
        <v>85</v>
      </c>
      <c r="J38" s="534" t="s">
        <v>297</v>
      </c>
      <c r="K38" s="613" t="s">
        <v>85</v>
      </c>
      <c r="L38" s="201" t="s">
        <v>297</v>
      </c>
      <c r="M38" s="534" t="s">
        <v>85</v>
      </c>
      <c r="N38" s="201" t="s">
        <v>297</v>
      </c>
    </row>
    <row r="39" spans="1:28" s="514" customFormat="1" ht="15">
      <c r="A39" s="553"/>
      <c r="B39" s="585" t="s">
        <v>596</v>
      </c>
      <c r="C39" s="523"/>
      <c r="D39" s="593"/>
      <c r="E39" s="504"/>
      <c r="F39" s="504"/>
      <c r="G39" s="569"/>
      <c r="H39" s="505"/>
      <c r="I39" s="504"/>
      <c r="J39" s="504"/>
      <c r="K39" s="569"/>
      <c r="L39" s="505"/>
      <c r="M39" s="504"/>
      <c r="N39" s="505"/>
    </row>
    <row r="40" spans="1:28" s="514" customFormat="1">
      <c r="A40" s="561">
        <v>7891721024030</v>
      </c>
      <c r="B40" s="583">
        <v>1008903600014</v>
      </c>
      <c r="C40" s="139" t="s">
        <v>595</v>
      </c>
      <c r="D40" s="594" t="s">
        <v>597</v>
      </c>
      <c r="E40" s="531">
        <f>ROUND(G40*1.028952,2)</f>
        <v>290.54000000000002</v>
      </c>
      <c r="F40" s="531">
        <f>ROUND(E40/0.751296,2)</f>
        <v>386.72</v>
      </c>
      <c r="G40" s="610">
        <v>282.36868800000002</v>
      </c>
      <c r="H40" s="611">
        <f>ROUND(G40/0.750577,2)</f>
        <v>376.2</v>
      </c>
      <c r="I40" s="531">
        <f>ROUND(G40*0.993015,2)</f>
        <v>280.39999999999998</v>
      </c>
      <c r="J40" s="531">
        <f>ROUND(I40/0.750402,2)</f>
        <v>373.67</v>
      </c>
      <c r="K40" s="616">
        <f>ROUND(G40*0.986128,2)</f>
        <v>278.45</v>
      </c>
      <c r="L40" s="605">
        <f>ROUND(K40/0.75023,2)</f>
        <v>371.15</v>
      </c>
      <c r="M40" s="531">
        <f>ROUND(G40*0.922175,2)</f>
        <v>260.39</v>
      </c>
      <c r="N40" s="605">
        <f>ROUND(M40/0.748624,2)</f>
        <v>347.82</v>
      </c>
    </row>
    <row r="41" spans="1:28" s="514" customFormat="1" ht="15">
      <c r="A41" s="553"/>
      <c r="B41" s="585" t="s">
        <v>736</v>
      </c>
      <c r="C41" s="523"/>
      <c r="D41" s="593"/>
      <c r="E41" s="504"/>
      <c r="F41" s="504"/>
      <c r="G41" s="569"/>
      <c r="H41" s="505"/>
      <c r="I41" s="504"/>
      <c r="J41" s="504"/>
      <c r="K41" s="569"/>
      <c r="L41" s="505"/>
      <c r="M41" s="504"/>
      <c r="N41" s="505"/>
    </row>
    <row r="42" spans="1:28" s="514" customFormat="1" ht="13.5" thickBot="1">
      <c r="A42" s="566">
        <v>7891721025242</v>
      </c>
      <c r="B42" s="587">
        <v>1008903640016</v>
      </c>
      <c r="C42" s="381" t="s">
        <v>737</v>
      </c>
      <c r="D42" s="617" t="s">
        <v>738</v>
      </c>
      <c r="E42" s="618">
        <f>ROUND(G42*1.028952,2)</f>
        <v>3105.65</v>
      </c>
      <c r="F42" s="618">
        <f>ROUND(E42/0.751296,2)</f>
        <v>4133.72</v>
      </c>
      <c r="G42" s="619">
        <v>3018.27</v>
      </c>
      <c r="H42" s="620">
        <f>ROUND(G42/0.750577,2)</f>
        <v>4021.27</v>
      </c>
      <c r="I42" s="618">
        <f>ROUND(G42*0.993015,2)</f>
        <v>2997.19</v>
      </c>
      <c r="J42" s="618">
        <f>ROUND(I42/0.750402,2)</f>
        <v>3994.11</v>
      </c>
      <c r="K42" s="621">
        <f>ROUND(G42*0.986128,2)</f>
        <v>2976.4</v>
      </c>
      <c r="L42" s="622">
        <f>ROUND(K42/0.75023,2)</f>
        <v>3967.32</v>
      </c>
      <c r="M42" s="618">
        <f>ROUND(G42*0.922175,2)</f>
        <v>2783.37</v>
      </c>
      <c r="N42" s="622">
        <f>ROUND(M42/0.748624,2)</f>
        <v>3717.98</v>
      </c>
    </row>
    <row r="44" spans="1:28" s="89" customFormat="1">
      <c r="A44" s="234"/>
      <c r="B44" s="372" t="s">
        <v>743</v>
      </c>
      <c r="C44" s="136"/>
      <c r="D44" s="9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</row>
    <row r="45" spans="1:28" s="89" customFormat="1">
      <c r="A45" s="234"/>
      <c r="B45" s="372" t="s">
        <v>744</v>
      </c>
      <c r="C45" s="136"/>
      <c r="D45" s="9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</row>
    <row r="46" spans="1:28" s="89" customFormat="1">
      <c r="A46" s="234"/>
      <c r="B46" s="372" t="s">
        <v>778</v>
      </c>
      <c r="C46" s="136"/>
      <c r="D46" s="9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</row>
    <row r="47" spans="1:28" s="89" customFormat="1">
      <c r="A47" s="234"/>
      <c r="B47" s="136"/>
      <c r="C47" s="136"/>
      <c r="D47" s="9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</row>
    <row r="48" spans="1:28" s="89" customFormat="1">
      <c r="A48" s="228"/>
      <c r="B48" s="337" t="s">
        <v>711</v>
      </c>
      <c r="C48" s="99"/>
      <c r="E48" s="127"/>
      <c r="F48" s="127"/>
      <c r="G48" s="127"/>
      <c r="H48" s="127"/>
      <c r="I48" s="127"/>
      <c r="J48" s="127"/>
      <c r="K48" s="127"/>
      <c r="L48" s="127"/>
      <c r="M48" s="127"/>
      <c r="N48" s="96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</row>
    <row r="49" spans="1:28" s="89" customFormat="1">
      <c r="A49" s="228"/>
      <c r="B49" s="99"/>
      <c r="C49" s="99"/>
      <c r="E49" s="144"/>
      <c r="F49" s="144"/>
      <c r="G49" s="143"/>
      <c r="H49" s="145"/>
      <c r="I49" s="146"/>
      <c r="J49" s="96"/>
      <c r="K49" s="146"/>
      <c r="L49" s="96"/>
      <c r="M49" s="146"/>
      <c r="N49" s="96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</row>
    <row r="50" spans="1:28" s="89" customFormat="1">
      <c r="A50" s="228"/>
      <c r="B50" s="225" t="s">
        <v>642</v>
      </c>
      <c r="C50" s="99"/>
      <c r="E50" s="98"/>
      <c r="F50" s="98"/>
      <c r="H50" s="95"/>
      <c r="J50" s="96"/>
      <c r="L50" s="96"/>
      <c r="N50" s="96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</row>
    <row r="51" spans="1:28" s="89" customFormat="1">
      <c r="A51" s="228"/>
      <c r="B51" s="138" t="s">
        <v>739</v>
      </c>
      <c r="C51" s="90"/>
      <c r="E51" s="98"/>
      <c r="F51" s="98"/>
      <c r="H51" s="95"/>
      <c r="J51" s="96"/>
      <c r="L51" s="96"/>
      <c r="N51" s="96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</row>
    <row r="52" spans="1:28" s="89" customFormat="1">
      <c r="A52" s="228"/>
      <c r="B52" s="138"/>
      <c r="C52" s="103"/>
      <c r="D52" s="102"/>
      <c r="E52" s="98"/>
      <c r="F52" s="98"/>
      <c r="H52" s="95"/>
      <c r="J52" s="96"/>
      <c r="L52" s="96"/>
      <c r="N52" s="96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</row>
    <row r="53" spans="1:28" s="89" customFormat="1">
      <c r="A53" s="228"/>
      <c r="B53" s="138" t="s">
        <v>707</v>
      </c>
      <c r="C53" s="336"/>
      <c r="D53" s="336"/>
      <c r="E53"/>
      <c r="F53" s="138"/>
      <c r="H53" s="95"/>
      <c r="J53" s="96"/>
      <c r="L53" s="96"/>
      <c r="N53" s="96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</row>
    <row r="54" spans="1:28" s="89" customFormat="1">
      <c r="A54" s="228"/>
      <c r="B54" s="138" t="s">
        <v>708</v>
      </c>
      <c r="C54" s="336"/>
      <c r="D54" s="336"/>
      <c r="E54"/>
      <c r="F54" s="138"/>
      <c r="H54" s="95"/>
      <c r="J54" s="96"/>
      <c r="L54" s="96"/>
      <c r="N54" s="96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</row>
    <row r="55" spans="1:28" s="89" customFormat="1">
      <c r="A55" s="228"/>
      <c r="B55" s="138" t="s">
        <v>742</v>
      </c>
      <c r="C55" s="336"/>
      <c r="D55" s="336"/>
      <c r="E55"/>
      <c r="F55" s="138"/>
      <c r="H55" s="95"/>
      <c r="J55" s="96"/>
      <c r="L55" s="96"/>
      <c r="N55" s="96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</row>
    <row r="56" spans="1:28" s="89" customFormat="1">
      <c r="A56" s="228"/>
      <c r="B56" s="138" t="s">
        <v>709</v>
      </c>
      <c r="C56" s="336"/>
      <c r="D56" s="336"/>
      <c r="E56"/>
      <c r="F56" s="138"/>
      <c r="H56" s="95"/>
      <c r="J56" s="96"/>
      <c r="L56" s="96"/>
      <c r="N56" s="96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</row>
    <row r="57" spans="1:28" s="89" customFormat="1">
      <c r="A57" s="228"/>
      <c r="B57" s="138"/>
      <c r="C57" s="336"/>
      <c r="D57" s="336"/>
      <c r="E57"/>
      <c r="F57" s="138"/>
      <c r="H57" s="95"/>
      <c r="J57" s="96"/>
      <c r="L57" s="96"/>
      <c r="N57" s="96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</row>
    <row r="58" spans="1:28" s="89" customFormat="1">
      <c r="A58" s="228"/>
      <c r="B58" s="225" t="s">
        <v>581</v>
      </c>
      <c r="C58" s="103"/>
      <c r="D58" s="102"/>
      <c r="E58" s="98"/>
      <c r="F58" s="98"/>
      <c r="H58" s="95"/>
      <c r="J58" s="96"/>
      <c r="L58" s="96"/>
      <c r="N58" s="96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</row>
    <row r="59" spans="1:28" s="89" customFormat="1">
      <c r="A59" s="228"/>
      <c r="B59" s="225"/>
      <c r="C59" s="103"/>
      <c r="D59" s="102"/>
      <c r="E59" s="98"/>
      <c r="F59" s="98"/>
      <c r="H59" s="95"/>
      <c r="J59" s="96"/>
      <c r="L59" s="96"/>
      <c r="N59" s="96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</row>
    <row r="60" spans="1:28" s="89" customFormat="1">
      <c r="A60" s="228"/>
      <c r="B60" s="365" t="s">
        <v>782</v>
      </c>
      <c r="C60" s="366"/>
      <c r="D60" s="367"/>
      <c r="E60" s="368"/>
      <c r="F60" s="368"/>
      <c r="G60" s="369"/>
      <c r="H60" s="370"/>
      <c r="I60" s="369"/>
      <c r="J60" s="371"/>
      <c r="K60" s="369"/>
      <c r="L60" s="371"/>
      <c r="N60" s="96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</row>
    <row r="61" spans="1:28" s="89" customFormat="1">
      <c r="A61" s="228"/>
      <c r="B61" s="103"/>
      <c r="C61" s="97"/>
      <c r="D61" s="88"/>
      <c r="E61" s="98"/>
      <c r="F61" s="98"/>
      <c r="H61" s="95"/>
      <c r="J61" s="96"/>
      <c r="L61" s="96"/>
      <c r="N61" s="96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</row>
    <row r="62" spans="1:28" s="89" customFormat="1">
      <c r="A62" s="228"/>
      <c r="B62" s="100" t="s">
        <v>777</v>
      </c>
      <c r="C62" s="97"/>
      <c r="D62" s="88"/>
      <c r="E62" s="98"/>
      <c r="F62" s="98"/>
      <c r="H62" s="95"/>
      <c r="J62" s="96"/>
      <c r="L62" s="96"/>
      <c r="N62" s="96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</row>
  </sheetData>
  <mergeCells count="13">
    <mergeCell ref="A3:N3"/>
    <mergeCell ref="B36:D36"/>
    <mergeCell ref="E36:F36"/>
    <mergeCell ref="G36:H36"/>
    <mergeCell ref="I36:J36"/>
    <mergeCell ref="K36:L36"/>
    <mergeCell ref="M36:N36"/>
    <mergeCell ref="B4:D4"/>
    <mergeCell ref="E4:F4"/>
    <mergeCell ref="G4:H4"/>
    <mergeCell ref="I4:J4"/>
    <mergeCell ref="K4:L4"/>
    <mergeCell ref="M4:N4"/>
  </mergeCells>
  <dataValidations count="1">
    <dataValidation type="textLength" operator="greaterThanOrEqual" allowBlank="1" showErrorMessage="1" promptTitle="Produto" prompt="Informar o nome do produto" sqref="A33:A35 A8:A24 A44:A47">
      <formula1>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9"/>
  <sheetViews>
    <sheetView topLeftCell="A49" workbookViewId="0">
      <selection activeCell="E71" sqref="E71"/>
    </sheetView>
  </sheetViews>
  <sheetFormatPr defaultRowHeight="12.75"/>
  <cols>
    <col min="1" max="1" width="14.140625" bestFit="1" customWidth="1"/>
    <col min="2" max="2" width="17.28515625" customWidth="1"/>
    <col min="3" max="3" width="12.85546875" customWidth="1"/>
    <col min="4" max="4" width="82.140625" bestFit="1" customWidth="1"/>
  </cols>
  <sheetData>
    <row r="2" spans="1:14" ht="45.75" customHeight="1"/>
    <row r="3" spans="1:14" ht="18.75" thickBot="1">
      <c r="A3" s="698" t="s">
        <v>779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</row>
    <row r="4" spans="1:14" s="510" customFormat="1" ht="18.75" customHeight="1">
      <c r="A4" s="550" t="s">
        <v>295</v>
      </c>
      <c r="B4" s="712" t="s">
        <v>281</v>
      </c>
      <c r="C4" s="713"/>
      <c r="D4" s="714"/>
      <c r="E4" s="727" t="s">
        <v>741</v>
      </c>
      <c r="F4" s="727"/>
      <c r="G4" s="710" t="s">
        <v>292</v>
      </c>
      <c r="H4" s="711"/>
      <c r="I4" s="727" t="s">
        <v>740</v>
      </c>
      <c r="J4" s="727"/>
      <c r="K4" s="710" t="s">
        <v>293</v>
      </c>
      <c r="L4" s="711"/>
      <c r="M4" s="727" t="s">
        <v>322</v>
      </c>
      <c r="N4" s="711"/>
    </row>
    <row r="5" spans="1:14" s="514" customFormat="1" ht="12.75" customHeight="1">
      <c r="A5" s="551" t="s">
        <v>296</v>
      </c>
      <c r="B5" s="580" t="s">
        <v>13</v>
      </c>
      <c r="C5" s="511" t="s">
        <v>83</v>
      </c>
      <c r="D5" s="588"/>
      <c r="E5" s="512" t="s">
        <v>81</v>
      </c>
      <c r="F5" s="512" t="s">
        <v>82</v>
      </c>
      <c r="G5" s="568" t="s">
        <v>81</v>
      </c>
      <c r="H5" s="109" t="s">
        <v>82</v>
      </c>
      <c r="I5" s="512" t="s">
        <v>81</v>
      </c>
      <c r="J5" s="512" t="s">
        <v>82</v>
      </c>
      <c r="K5" s="568" t="s">
        <v>81</v>
      </c>
      <c r="L5" s="109" t="s">
        <v>82</v>
      </c>
      <c r="M5" s="513" t="s">
        <v>81</v>
      </c>
      <c r="N5" s="151" t="s">
        <v>82</v>
      </c>
    </row>
    <row r="6" spans="1:14" s="514" customFormat="1" ht="13.5" customHeight="1">
      <c r="A6" s="552"/>
      <c r="B6" s="581" t="s">
        <v>14</v>
      </c>
      <c r="C6" s="511" t="s">
        <v>379</v>
      </c>
      <c r="D6" s="588" t="s">
        <v>84</v>
      </c>
      <c r="E6" s="512" t="s">
        <v>85</v>
      </c>
      <c r="F6" s="512" t="s">
        <v>297</v>
      </c>
      <c r="G6" s="568" t="s">
        <v>85</v>
      </c>
      <c r="H6" s="109" t="s">
        <v>297</v>
      </c>
      <c r="I6" s="512" t="s">
        <v>85</v>
      </c>
      <c r="J6" s="512" t="s">
        <v>297</v>
      </c>
      <c r="K6" s="568" t="s">
        <v>85</v>
      </c>
      <c r="L6" s="109" t="s">
        <v>297</v>
      </c>
      <c r="M6" s="513" t="s">
        <v>85</v>
      </c>
      <c r="N6" s="151" t="s">
        <v>297</v>
      </c>
    </row>
    <row r="7" spans="1:14" s="514" customFormat="1" ht="15">
      <c r="A7" s="553"/>
      <c r="B7" s="599" t="s">
        <v>310</v>
      </c>
      <c r="C7" s="516"/>
      <c r="D7" s="600"/>
      <c r="E7" s="504"/>
      <c r="F7" s="504"/>
      <c r="G7" s="569"/>
      <c r="H7" s="505"/>
      <c r="I7" s="504"/>
      <c r="J7" s="504"/>
      <c r="K7" s="569"/>
      <c r="L7" s="505"/>
      <c r="M7" s="504"/>
      <c r="N7" s="505"/>
    </row>
    <row r="8" spans="1:14" s="514" customFormat="1">
      <c r="A8" s="565">
        <v>7891721012990</v>
      </c>
      <c r="B8" s="583">
        <v>1008902710101</v>
      </c>
      <c r="C8" s="139" t="s">
        <v>539</v>
      </c>
      <c r="D8" s="601" t="s">
        <v>535</v>
      </c>
      <c r="E8" s="506">
        <f>ROUND(G8*1.025,2)</f>
        <v>5.05</v>
      </c>
      <c r="F8" s="506">
        <f>ROUND(E8/0.723358,2)</f>
        <v>6.98</v>
      </c>
      <c r="G8" s="578">
        <v>4.9260373568834828</v>
      </c>
      <c r="H8" s="562">
        <f>ROUND(G8/0.723358,2)</f>
        <v>6.81</v>
      </c>
      <c r="I8" s="506">
        <f>ROUND(G8*0.993939,2)</f>
        <v>4.9000000000000004</v>
      </c>
      <c r="J8" s="506">
        <f>ROUND(I8/0.723358,2)</f>
        <v>6.77</v>
      </c>
      <c r="K8" s="578">
        <f>ROUND(G8*0.987952,2)</f>
        <v>4.87</v>
      </c>
      <c r="L8" s="562">
        <f>ROUND(K8/0.723358,2)</f>
        <v>6.73</v>
      </c>
      <c r="M8" s="506">
        <f>ROUND(G8*0.931818,2)</f>
        <v>4.59</v>
      </c>
      <c r="N8" s="562">
        <f>ROUND(M8/0.723358,2)</f>
        <v>6.35</v>
      </c>
    </row>
    <row r="9" spans="1:14" s="514" customFormat="1">
      <c r="A9" s="565">
        <v>7891721013010</v>
      </c>
      <c r="B9" s="583">
        <v>1008902710118</v>
      </c>
      <c r="C9" s="139" t="s">
        <v>380</v>
      </c>
      <c r="D9" s="601" t="s">
        <v>318</v>
      </c>
      <c r="E9" s="506">
        <f>ROUND(G9*1.025,2)</f>
        <v>18.95</v>
      </c>
      <c r="F9" s="506">
        <f>ROUND(E9/0.723358,2)</f>
        <v>26.2</v>
      </c>
      <c r="G9" s="578">
        <v>18.487843907315785</v>
      </c>
      <c r="H9" s="562">
        <f>ROUND(G9/0.723358,2)</f>
        <v>25.56</v>
      </c>
      <c r="I9" s="506">
        <v>18.37</v>
      </c>
      <c r="J9" s="506">
        <f>ROUND(I9/0.723358,2)</f>
        <v>25.4</v>
      </c>
      <c r="K9" s="578">
        <v>18.260000000000002</v>
      </c>
      <c r="L9" s="562">
        <f>ROUND(K9/0.723358,2)</f>
        <v>25.24</v>
      </c>
      <c r="M9" s="506">
        <f>ROUND(G9*0.931818,2)</f>
        <v>17.23</v>
      </c>
      <c r="N9" s="562">
        <f>ROUND(M9/0.723358,2)</f>
        <v>23.82</v>
      </c>
    </row>
    <row r="10" spans="1:14" s="514" customFormat="1">
      <c r="A10" s="565">
        <v>7891721008405</v>
      </c>
      <c r="B10" s="583">
        <v>1008902710088</v>
      </c>
      <c r="C10" s="139" t="s">
        <v>381</v>
      </c>
      <c r="D10" s="601" t="s">
        <v>319</v>
      </c>
      <c r="E10" s="506">
        <f>ROUND(G10*1.025,2)</f>
        <v>38.01</v>
      </c>
      <c r="F10" s="506">
        <f>ROUND(E10/0.723358,2)</f>
        <v>52.55</v>
      </c>
      <c r="G10" s="578">
        <v>37.087182487318238</v>
      </c>
      <c r="H10" s="562">
        <f>ROUND(G10/0.723358,2)</f>
        <v>51.27</v>
      </c>
      <c r="I10" s="506">
        <f>ROUND(G10*0.993939,2)</f>
        <v>36.86</v>
      </c>
      <c r="J10" s="506">
        <f>ROUND(I10/0.723358,2)</f>
        <v>50.96</v>
      </c>
      <c r="K10" s="578">
        <f>ROUND(G10*0.987952,2)</f>
        <v>36.64</v>
      </c>
      <c r="L10" s="562">
        <f>ROUND(K10/0.723358,2)</f>
        <v>50.65</v>
      </c>
      <c r="M10" s="506">
        <f>ROUND(G10*0.931818,2)</f>
        <v>34.56</v>
      </c>
      <c r="N10" s="562">
        <f>ROUND(M10/0.723358,2)</f>
        <v>47.78</v>
      </c>
    </row>
    <row r="11" spans="1:14" s="514" customFormat="1">
      <c r="A11" s="565">
        <v>7891721028922</v>
      </c>
      <c r="B11" s="583">
        <v>1008902710037</v>
      </c>
      <c r="C11" s="139">
        <v>3184750002</v>
      </c>
      <c r="D11" s="601" t="s">
        <v>724</v>
      </c>
      <c r="E11" s="506">
        <f>ROUND(G11*1.025,2)</f>
        <v>6.28</v>
      </c>
      <c r="F11" s="506">
        <f>ROUND(E11/0.723358,2)</f>
        <v>8.68</v>
      </c>
      <c r="G11" s="578">
        <v>6.1220711184313243</v>
      </c>
      <c r="H11" s="562">
        <f>ROUND(G11/0.723358,2)</f>
        <v>8.4600000000000009</v>
      </c>
      <c r="I11" s="506">
        <f>ROUND(G11*0.993939,2)</f>
        <v>6.08</v>
      </c>
      <c r="J11" s="506">
        <f>ROUND(I11/0.723358,2)</f>
        <v>8.41</v>
      </c>
      <c r="K11" s="578">
        <f>ROUND(G11*0.987952,2)</f>
        <v>6.05</v>
      </c>
      <c r="L11" s="562">
        <f>ROUND(K11/0.723358,2)</f>
        <v>8.36</v>
      </c>
      <c r="M11" s="506">
        <f>ROUND(G11*0.931818,2)</f>
        <v>5.7</v>
      </c>
      <c r="N11" s="562">
        <f>ROUND(M11/0.723358,2)</f>
        <v>7.88</v>
      </c>
    </row>
    <row r="12" spans="1:14" s="514" customFormat="1">
      <c r="A12" s="565">
        <v>7891721008368</v>
      </c>
      <c r="B12" s="583">
        <v>1008902710045</v>
      </c>
      <c r="C12" s="139" t="s">
        <v>415</v>
      </c>
      <c r="D12" s="601" t="s">
        <v>411</v>
      </c>
      <c r="E12" s="506">
        <f>ROUND(G12*1.025,2)</f>
        <v>18.829999999999998</v>
      </c>
      <c r="F12" s="506">
        <f>ROUND(E12/0.723358,2)</f>
        <v>26.03</v>
      </c>
      <c r="G12" s="578">
        <v>18.366213355293972</v>
      </c>
      <c r="H12" s="562">
        <f>ROUND(G12/0.723358,2)</f>
        <v>25.39</v>
      </c>
      <c r="I12" s="506">
        <f>ROUND(G12*0.993939,2)</f>
        <v>18.25</v>
      </c>
      <c r="J12" s="506">
        <f>ROUND(I12/0.723358,2)</f>
        <v>25.23</v>
      </c>
      <c r="K12" s="578">
        <f>ROUND(G12*0.987952,2)</f>
        <v>18.14</v>
      </c>
      <c r="L12" s="562">
        <f>ROUND(K12/0.723358,2)</f>
        <v>25.08</v>
      </c>
      <c r="M12" s="506">
        <f>ROUND(G12*0.931818,2)</f>
        <v>17.11</v>
      </c>
      <c r="N12" s="562">
        <f>ROUND(M12/0.723358,2)</f>
        <v>23.65</v>
      </c>
    </row>
    <row r="13" spans="1:14" s="514" customFormat="1" ht="15">
      <c r="A13" s="553"/>
      <c r="B13" s="599" t="s">
        <v>682</v>
      </c>
      <c r="C13" s="516"/>
      <c r="D13" s="600"/>
      <c r="E13" s="504"/>
      <c r="F13" s="504"/>
      <c r="G13" s="569"/>
      <c r="H13" s="505"/>
      <c r="I13" s="504"/>
      <c r="J13" s="504"/>
      <c r="K13" s="569"/>
      <c r="L13" s="505"/>
      <c r="M13" s="504"/>
      <c r="N13" s="505"/>
    </row>
    <row r="14" spans="1:14" s="514" customFormat="1">
      <c r="A14" s="561">
        <v>7891721023958</v>
      </c>
      <c r="B14" s="583">
        <v>1008902710150</v>
      </c>
      <c r="C14" s="139" t="s">
        <v>685</v>
      </c>
      <c r="D14" s="594" t="s">
        <v>683</v>
      </c>
      <c r="E14" s="506">
        <f>ROUND(G14*1.025,2)</f>
        <v>16.45</v>
      </c>
      <c r="F14" s="506">
        <f>ROUND(E14/0.723358,2)</f>
        <v>22.74</v>
      </c>
      <c r="G14" s="578">
        <v>16.045096987544348</v>
      </c>
      <c r="H14" s="562">
        <f>ROUND(G14/0.723358,2)</f>
        <v>22.18</v>
      </c>
      <c r="I14" s="506">
        <f>ROUND(G14*0.993939,2)</f>
        <v>15.95</v>
      </c>
      <c r="J14" s="506">
        <f>ROUND(I14/0.723358,2)</f>
        <v>22.05</v>
      </c>
      <c r="K14" s="578">
        <f>ROUND(G14*0.987952,2)</f>
        <v>15.85</v>
      </c>
      <c r="L14" s="562">
        <f>ROUND(K14/0.723358,2)</f>
        <v>21.91</v>
      </c>
      <c r="M14" s="506">
        <f>ROUND(G14*0.931818,2)</f>
        <v>14.95</v>
      </c>
      <c r="N14" s="562">
        <f>ROUND(M14/0.723358,2)</f>
        <v>20.67</v>
      </c>
    </row>
    <row r="15" spans="1:14" s="514" customFormat="1">
      <c r="A15" s="565">
        <v>7891721023965</v>
      </c>
      <c r="B15" s="583">
        <v>1008902710169</v>
      </c>
      <c r="C15" s="139">
        <v>3183120001</v>
      </c>
      <c r="D15" s="601" t="s">
        <v>684</v>
      </c>
      <c r="E15" s="506">
        <f>ROUND(G15*1.025,2)</f>
        <v>37.29</v>
      </c>
      <c r="F15" s="506">
        <f>ROUND(E15/0.723358,2)</f>
        <v>51.55</v>
      </c>
      <c r="G15" s="578">
        <v>36.377670933857651</v>
      </c>
      <c r="H15" s="562">
        <f>ROUND(G15/0.723358,2)</f>
        <v>50.29</v>
      </c>
      <c r="I15" s="506">
        <f>ROUND(G15*0.993939,2)</f>
        <v>36.159999999999997</v>
      </c>
      <c r="J15" s="506">
        <f>ROUND(I15/0.723358,2)</f>
        <v>49.99</v>
      </c>
      <c r="K15" s="578">
        <f>ROUND(G15*0.987952,2)</f>
        <v>35.94</v>
      </c>
      <c r="L15" s="562">
        <f>ROUND(K15/0.723358,2)</f>
        <v>49.68</v>
      </c>
      <c r="M15" s="506">
        <f>ROUND(G15*0.931818,2)</f>
        <v>33.9</v>
      </c>
      <c r="N15" s="562">
        <f>ROUND(M15/0.723358,2)</f>
        <v>46.86</v>
      </c>
    </row>
    <row r="16" spans="1:14" s="514" customFormat="1" ht="15">
      <c r="A16" s="553"/>
      <c r="B16" s="599" t="s">
        <v>303</v>
      </c>
      <c r="C16" s="516"/>
      <c r="D16" s="600"/>
      <c r="E16" s="504"/>
      <c r="F16" s="504"/>
      <c r="G16" s="569"/>
      <c r="H16" s="505"/>
      <c r="I16" s="504"/>
      <c r="J16" s="504"/>
      <c r="K16" s="569"/>
      <c r="L16" s="505"/>
      <c r="M16" s="504"/>
      <c r="N16" s="505"/>
    </row>
    <row r="17" spans="1:14" s="514" customFormat="1">
      <c r="A17" s="565">
        <v>7891721028946</v>
      </c>
      <c r="B17" s="583">
        <v>1008900150433</v>
      </c>
      <c r="C17" s="139">
        <v>3185640004</v>
      </c>
      <c r="D17" s="601" t="s">
        <v>725</v>
      </c>
      <c r="E17" s="506">
        <f t="shared" ref="E17:E23" si="0">ROUND(G17*1.025,2)</f>
        <v>2.37</v>
      </c>
      <c r="F17" s="506">
        <f t="shared" ref="F17:F23" si="1">ROUND(E17/0.723358,2)</f>
        <v>3.28</v>
      </c>
      <c r="G17" s="578">
        <v>2.3109804884144731</v>
      </c>
      <c r="H17" s="562">
        <f t="shared" ref="H17:H23" si="2">ROUND(G17/0.723358,2)</f>
        <v>3.19</v>
      </c>
      <c r="I17" s="506">
        <f t="shared" ref="I17:I23" si="3">ROUND(G17*0.993939,2)</f>
        <v>2.2999999999999998</v>
      </c>
      <c r="J17" s="506">
        <f t="shared" ref="J17:J23" si="4">ROUND(I17/0.723358,2)</f>
        <v>3.18</v>
      </c>
      <c r="K17" s="578">
        <f t="shared" ref="K17:K23" si="5">ROUND(G17*0.987952,2)</f>
        <v>2.2799999999999998</v>
      </c>
      <c r="L17" s="562">
        <f t="shared" ref="L17:L23" si="6">ROUND(K17/0.723358,2)</f>
        <v>3.15</v>
      </c>
      <c r="M17" s="506">
        <f>ROUND(G17*0.931818,2)</f>
        <v>2.15</v>
      </c>
      <c r="N17" s="562">
        <f t="shared" ref="N17:N23" si="7">ROUND(M17/0.723358,2)</f>
        <v>2.97</v>
      </c>
    </row>
    <row r="18" spans="1:14" s="514" customFormat="1">
      <c r="A18" s="565">
        <v>7891721020520</v>
      </c>
      <c r="B18" s="583">
        <v>1008900150425</v>
      </c>
      <c r="C18" s="139" t="s">
        <v>410</v>
      </c>
      <c r="D18" s="601" t="s">
        <v>689</v>
      </c>
      <c r="E18" s="506">
        <f t="shared" si="0"/>
        <v>7.12</v>
      </c>
      <c r="F18" s="506">
        <f t="shared" si="1"/>
        <v>9.84</v>
      </c>
      <c r="G18" s="578">
        <v>6.9430773445785707</v>
      </c>
      <c r="H18" s="562">
        <f t="shared" si="2"/>
        <v>9.6</v>
      </c>
      <c r="I18" s="506">
        <f t="shared" si="3"/>
        <v>6.9</v>
      </c>
      <c r="J18" s="506">
        <f t="shared" si="4"/>
        <v>9.5399999999999991</v>
      </c>
      <c r="K18" s="578">
        <f t="shared" si="5"/>
        <v>6.86</v>
      </c>
      <c r="L18" s="562">
        <f t="shared" si="6"/>
        <v>9.48</v>
      </c>
      <c r="M18" s="506">
        <f>ROUND(G18*0.931818,2)</f>
        <v>6.47</v>
      </c>
      <c r="N18" s="562">
        <f t="shared" si="7"/>
        <v>8.94</v>
      </c>
    </row>
    <row r="19" spans="1:14" s="514" customFormat="1">
      <c r="A19" s="565">
        <v>7891721028939</v>
      </c>
      <c r="B19" s="583">
        <v>1008900150451</v>
      </c>
      <c r="C19" s="139">
        <v>3185710001</v>
      </c>
      <c r="D19" s="601" t="s">
        <v>726</v>
      </c>
      <c r="E19" s="506">
        <f t="shared" si="0"/>
        <v>3.46</v>
      </c>
      <c r="F19" s="506">
        <f t="shared" si="1"/>
        <v>4.78</v>
      </c>
      <c r="G19" s="578">
        <v>3.3752478186053492</v>
      </c>
      <c r="H19" s="562">
        <f t="shared" si="2"/>
        <v>4.67</v>
      </c>
      <c r="I19" s="506">
        <f t="shared" si="3"/>
        <v>3.35</v>
      </c>
      <c r="J19" s="506">
        <f t="shared" si="4"/>
        <v>4.63</v>
      </c>
      <c r="K19" s="578">
        <f t="shared" si="5"/>
        <v>3.33</v>
      </c>
      <c r="L19" s="562">
        <f t="shared" si="6"/>
        <v>4.5999999999999996</v>
      </c>
      <c r="M19" s="506">
        <v>3.14</v>
      </c>
      <c r="N19" s="562">
        <f t="shared" si="7"/>
        <v>4.34</v>
      </c>
    </row>
    <row r="20" spans="1:14" s="514" customFormat="1">
      <c r="A20" s="565">
        <v>7891721020506</v>
      </c>
      <c r="B20" s="583">
        <v>1008900150441</v>
      </c>
      <c r="C20" s="139" t="s">
        <v>409</v>
      </c>
      <c r="D20" s="601" t="s">
        <v>690</v>
      </c>
      <c r="E20" s="506">
        <f t="shared" si="0"/>
        <v>10.39</v>
      </c>
      <c r="F20" s="506">
        <f t="shared" si="1"/>
        <v>14.36</v>
      </c>
      <c r="G20" s="578">
        <v>10.135879335151198</v>
      </c>
      <c r="H20" s="562">
        <f t="shared" si="2"/>
        <v>14.01</v>
      </c>
      <c r="I20" s="506">
        <f t="shared" si="3"/>
        <v>10.07</v>
      </c>
      <c r="J20" s="506">
        <f t="shared" si="4"/>
        <v>13.92</v>
      </c>
      <c r="K20" s="578">
        <f t="shared" si="5"/>
        <v>10.01</v>
      </c>
      <c r="L20" s="562">
        <f t="shared" si="6"/>
        <v>13.84</v>
      </c>
      <c r="M20" s="506">
        <f>ROUND(G20*0.931818,2)</f>
        <v>9.44</v>
      </c>
      <c r="N20" s="562">
        <f t="shared" si="7"/>
        <v>13.05</v>
      </c>
    </row>
    <row r="21" spans="1:14" s="514" customFormat="1">
      <c r="A21" s="565">
        <v>7891721000133</v>
      </c>
      <c r="B21" s="583" t="s">
        <v>31</v>
      </c>
      <c r="C21" s="139" t="s">
        <v>499</v>
      </c>
      <c r="D21" s="601" t="s">
        <v>489</v>
      </c>
      <c r="E21" s="506">
        <f t="shared" si="0"/>
        <v>38.770000000000003</v>
      </c>
      <c r="F21" s="506">
        <f t="shared" si="1"/>
        <v>53.6</v>
      </c>
      <c r="G21" s="578">
        <v>37.827101678784274</v>
      </c>
      <c r="H21" s="562">
        <f t="shared" si="2"/>
        <v>52.29</v>
      </c>
      <c r="I21" s="506">
        <f t="shared" si="3"/>
        <v>37.6</v>
      </c>
      <c r="J21" s="506">
        <f t="shared" si="4"/>
        <v>51.98</v>
      </c>
      <c r="K21" s="578">
        <f t="shared" si="5"/>
        <v>37.369999999999997</v>
      </c>
      <c r="L21" s="562">
        <f t="shared" si="6"/>
        <v>51.66</v>
      </c>
      <c r="M21" s="506">
        <f>ROUND(G21*0.931818,2)</f>
        <v>35.25</v>
      </c>
      <c r="N21" s="562">
        <f t="shared" si="7"/>
        <v>48.73</v>
      </c>
    </row>
    <row r="22" spans="1:14" s="514" customFormat="1">
      <c r="A22" s="565">
        <v>7891721028335</v>
      </c>
      <c r="B22" s="583">
        <v>1008900150131</v>
      </c>
      <c r="C22" s="139">
        <v>3191010002</v>
      </c>
      <c r="D22" s="601" t="s">
        <v>723</v>
      </c>
      <c r="E22" s="506">
        <f t="shared" si="0"/>
        <v>38.770000000000003</v>
      </c>
      <c r="F22" s="506">
        <f t="shared" si="1"/>
        <v>53.6</v>
      </c>
      <c r="G22" s="578">
        <v>37.827101678784274</v>
      </c>
      <c r="H22" s="562">
        <f t="shared" si="2"/>
        <v>52.29</v>
      </c>
      <c r="I22" s="506">
        <f t="shared" si="3"/>
        <v>37.6</v>
      </c>
      <c r="J22" s="506">
        <f t="shared" si="4"/>
        <v>51.98</v>
      </c>
      <c r="K22" s="578">
        <f t="shared" si="5"/>
        <v>37.369999999999997</v>
      </c>
      <c r="L22" s="562">
        <f t="shared" si="6"/>
        <v>51.66</v>
      </c>
      <c r="M22" s="506">
        <f>ROUND(G22*0.931818,2)</f>
        <v>35.25</v>
      </c>
      <c r="N22" s="562">
        <f t="shared" si="7"/>
        <v>48.73</v>
      </c>
    </row>
    <row r="23" spans="1:14" s="514" customFormat="1">
      <c r="A23" s="565">
        <v>7891721029394</v>
      </c>
      <c r="B23" s="583">
        <v>1008900150158</v>
      </c>
      <c r="C23" s="139">
        <v>3191010004</v>
      </c>
      <c r="D23" s="601" t="s">
        <v>733</v>
      </c>
      <c r="E23" s="506">
        <f t="shared" si="0"/>
        <v>100.52</v>
      </c>
      <c r="F23" s="506">
        <f t="shared" si="1"/>
        <v>138.96</v>
      </c>
      <c r="G23" s="578">
        <v>98.06463256758785</v>
      </c>
      <c r="H23" s="562">
        <f t="shared" si="2"/>
        <v>135.57</v>
      </c>
      <c r="I23" s="506">
        <f t="shared" si="3"/>
        <v>97.47</v>
      </c>
      <c r="J23" s="506">
        <f t="shared" si="4"/>
        <v>134.75</v>
      </c>
      <c r="K23" s="578">
        <f t="shared" si="5"/>
        <v>96.88</v>
      </c>
      <c r="L23" s="562">
        <f t="shared" si="6"/>
        <v>133.93</v>
      </c>
      <c r="M23" s="506">
        <f>ROUND(G23*0.931818,2)</f>
        <v>91.38</v>
      </c>
      <c r="N23" s="562">
        <f t="shared" si="7"/>
        <v>126.33</v>
      </c>
    </row>
    <row r="24" spans="1:14" s="514" customFormat="1">
      <c r="A24" s="556"/>
      <c r="B24" s="584"/>
      <c r="C24" s="519"/>
      <c r="D24" s="592"/>
      <c r="E24" s="520"/>
      <c r="F24" s="521"/>
      <c r="G24" s="571"/>
      <c r="H24" s="557"/>
      <c r="I24" s="522"/>
      <c r="J24" s="521"/>
      <c r="K24" s="576"/>
      <c r="L24" s="557"/>
      <c r="M24" s="522"/>
      <c r="N24" s="557"/>
    </row>
    <row r="25" spans="1:14" s="514" customFormat="1" ht="18.75" customHeight="1">
      <c r="A25" s="558" t="s">
        <v>295</v>
      </c>
      <c r="B25" s="707" t="s">
        <v>294</v>
      </c>
      <c r="C25" s="708"/>
      <c r="D25" s="709"/>
      <c r="E25" s="726" t="s">
        <v>741</v>
      </c>
      <c r="F25" s="726"/>
      <c r="G25" s="702" t="s">
        <v>292</v>
      </c>
      <c r="H25" s="703"/>
      <c r="I25" s="726" t="s">
        <v>740</v>
      </c>
      <c r="J25" s="726"/>
      <c r="K25" s="702" t="s">
        <v>293</v>
      </c>
      <c r="L25" s="703"/>
      <c r="M25" s="726" t="s">
        <v>322</v>
      </c>
      <c r="N25" s="703"/>
    </row>
    <row r="26" spans="1:14" s="514" customFormat="1" ht="12.75" customHeight="1">
      <c r="A26" s="558" t="s">
        <v>296</v>
      </c>
      <c r="B26" s="580" t="s">
        <v>13</v>
      </c>
      <c r="C26" s="511" t="s">
        <v>83</v>
      </c>
      <c r="D26" s="588"/>
      <c r="E26" s="260" t="s">
        <v>81</v>
      </c>
      <c r="F26" s="260" t="s">
        <v>82</v>
      </c>
      <c r="G26" s="572" t="s">
        <v>81</v>
      </c>
      <c r="H26" s="256" t="s">
        <v>82</v>
      </c>
      <c r="I26" s="260" t="s">
        <v>81</v>
      </c>
      <c r="J26" s="260" t="s">
        <v>82</v>
      </c>
      <c r="K26" s="572" t="s">
        <v>81</v>
      </c>
      <c r="L26" s="256" t="s">
        <v>82</v>
      </c>
      <c r="M26" s="260" t="s">
        <v>81</v>
      </c>
      <c r="N26" s="256" t="s">
        <v>82</v>
      </c>
    </row>
    <row r="27" spans="1:14" s="514" customFormat="1" ht="13.5" customHeight="1">
      <c r="A27" s="559"/>
      <c r="B27" s="581" t="s">
        <v>14</v>
      </c>
      <c r="C27" s="511" t="s">
        <v>379</v>
      </c>
      <c r="D27" s="588" t="s">
        <v>84</v>
      </c>
      <c r="E27" s="260" t="s">
        <v>85</v>
      </c>
      <c r="F27" s="260" t="s">
        <v>297</v>
      </c>
      <c r="G27" s="572" t="s">
        <v>85</v>
      </c>
      <c r="H27" s="256" t="s">
        <v>297</v>
      </c>
      <c r="I27" s="260" t="s">
        <v>85</v>
      </c>
      <c r="J27" s="260" t="s">
        <v>297</v>
      </c>
      <c r="K27" s="572" t="s">
        <v>85</v>
      </c>
      <c r="L27" s="256" t="s">
        <v>297</v>
      </c>
      <c r="M27" s="260" t="s">
        <v>85</v>
      </c>
      <c r="N27" s="256" t="s">
        <v>297</v>
      </c>
    </row>
    <row r="28" spans="1:14" s="514" customFormat="1" ht="15">
      <c r="A28" s="553"/>
      <c r="B28" s="582" t="s">
        <v>565</v>
      </c>
      <c r="C28" s="517"/>
      <c r="D28" s="589"/>
      <c r="E28" s="504"/>
      <c r="F28" s="504"/>
      <c r="G28" s="569"/>
      <c r="H28" s="505"/>
      <c r="I28" s="504"/>
      <c r="J28" s="504"/>
      <c r="K28" s="569"/>
      <c r="L28" s="505"/>
      <c r="M28" s="504"/>
      <c r="N28" s="505"/>
    </row>
    <row r="29" spans="1:14" s="514" customFormat="1">
      <c r="A29" s="561">
        <v>7891721100024</v>
      </c>
      <c r="B29" s="583" t="s">
        <v>53</v>
      </c>
      <c r="C29" s="139" t="s">
        <v>492</v>
      </c>
      <c r="D29" s="594" t="s">
        <v>284</v>
      </c>
      <c r="E29" s="506">
        <f>ROUND(G29*1.028952,2)</f>
        <v>16.11</v>
      </c>
      <c r="F29" s="506">
        <f>ROUND(E29/0.751296,2)</f>
        <v>21.44</v>
      </c>
      <c r="G29" s="578">
        <v>15.654630710094672</v>
      </c>
      <c r="H29" s="562">
        <f>ROUND(G29/0.750577,2)</f>
        <v>20.86</v>
      </c>
      <c r="I29" s="506">
        <v>15.54</v>
      </c>
      <c r="J29" s="506">
        <f>ROUND(I29/0.750402,2)</f>
        <v>20.71</v>
      </c>
      <c r="K29" s="578">
        <f>ROUND(G29*0.986128,2)</f>
        <v>15.44</v>
      </c>
      <c r="L29" s="562">
        <f>ROUND(K29/0.75023,2)</f>
        <v>20.58</v>
      </c>
      <c r="M29" s="506">
        <f>ROUND(G29*0.922175,2)</f>
        <v>14.44</v>
      </c>
      <c r="N29" s="562">
        <f>ROUND(M29/0.748624,2)</f>
        <v>19.29</v>
      </c>
    </row>
    <row r="30" spans="1:14" s="514" customFormat="1">
      <c r="A30" s="561">
        <v>7891721100031</v>
      </c>
      <c r="B30" s="583" t="s">
        <v>55</v>
      </c>
      <c r="C30" s="139" t="s">
        <v>493</v>
      </c>
      <c r="D30" s="594" t="s">
        <v>285</v>
      </c>
      <c r="E30" s="506">
        <f>ROUND(G30*1.028952,2)</f>
        <v>13.58</v>
      </c>
      <c r="F30" s="506">
        <f>ROUND(E30/0.751296,2)</f>
        <v>18.079999999999998</v>
      </c>
      <c r="G30" s="578">
        <v>13.196914894366861</v>
      </c>
      <c r="H30" s="562">
        <f>ROUND(G30/0.750577,2)</f>
        <v>17.579999999999998</v>
      </c>
      <c r="I30" s="506">
        <f>ROUND(G30*0.993015,2)</f>
        <v>13.1</v>
      </c>
      <c r="J30" s="506">
        <f>ROUND(I30/0.750402,2)</f>
        <v>17.46</v>
      </c>
      <c r="K30" s="578">
        <f>ROUND(G30*0.986128,2)</f>
        <v>13.01</v>
      </c>
      <c r="L30" s="562">
        <f>ROUND(K30/0.75023,2)</f>
        <v>17.34</v>
      </c>
      <c r="M30" s="506">
        <f>ROUND(G30*0.922175,2)</f>
        <v>12.17</v>
      </c>
      <c r="N30" s="562">
        <f>ROUND(M30/0.748624,2)</f>
        <v>16.260000000000002</v>
      </c>
    </row>
    <row r="31" spans="1:14" s="514" customFormat="1" ht="15">
      <c r="A31" s="553"/>
      <c r="B31" s="582" t="s">
        <v>566</v>
      </c>
      <c r="C31" s="517"/>
      <c r="D31" s="589"/>
      <c r="E31" s="504"/>
      <c r="F31" s="504"/>
      <c r="G31" s="569"/>
      <c r="H31" s="505"/>
      <c r="I31" s="504"/>
      <c r="J31" s="504"/>
      <c r="K31" s="569"/>
      <c r="L31" s="505"/>
      <c r="M31" s="504"/>
      <c r="N31" s="505"/>
    </row>
    <row r="32" spans="1:14" s="514" customFormat="1">
      <c r="A32" s="561">
        <v>7891721022128</v>
      </c>
      <c r="B32" s="583">
        <v>1008900710511</v>
      </c>
      <c r="C32" s="139" t="s">
        <v>466</v>
      </c>
      <c r="D32" s="594" t="s">
        <v>585</v>
      </c>
      <c r="E32" s="506">
        <f t="shared" ref="E32:E37" si="8">ROUND(G32*1.028952,2)</f>
        <v>22.76</v>
      </c>
      <c r="F32" s="506">
        <f t="shared" ref="F32:F37" si="9">ROUND(E32/0.751296,2)</f>
        <v>30.29</v>
      </c>
      <c r="G32" s="578">
        <v>22.12</v>
      </c>
      <c r="H32" s="562">
        <f t="shared" ref="H32:H37" si="10">ROUND(G32/0.750577,2)</f>
        <v>29.47</v>
      </c>
      <c r="I32" s="506">
        <f t="shared" ref="I32:I37" si="11">ROUND(G32*0.993015,2)</f>
        <v>21.97</v>
      </c>
      <c r="J32" s="506">
        <f t="shared" ref="J32:J37" si="12">ROUND(I32/0.750402,2)</f>
        <v>29.28</v>
      </c>
      <c r="K32" s="578">
        <f t="shared" ref="K32:K37" si="13">ROUND(G32*0.986128,2)</f>
        <v>21.81</v>
      </c>
      <c r="L32" s="562">
        <f t="shared" ref="L32:L37" si="14">ROUND(K32/0.75023,2)</f>
        <v>29.07</v>
      </c>
      <c r="M32" s="506">
        <f t="shared" ref="M32:M37" si="15">ROUND(G32*0.922175,2)</f>
        <v>20.399999999999999</v>
      </c>
      <c r="N32" s="562">
        <f t="shared" ref="N32:N37" si="16">ROUND(M32/0.748624,2)</f>
        <v>27.25</v>
      </c>
    </row>
    <row r="33" spans="1:14" s="514" customFormat="1">
      <c r="A33" s="561">
        <v>7891721100017</v>
      </c>
      <c r="B33" s="583" t="s">
        <v>51</v>
      </c>
      <c r="C33" s="139" t="s">
        <v>490</v>
      </c>
      <c r="D33" s="594" t="s">
        <v>586</v>
      </c>
      <c r="E33" s="506">
        <f t="shared" si="8"/>
        <v>12.73</v>
      </c>
      <c r="F33" s="506">
        <f t="shared" si="9"/>
        <v>16.940000000000001</v>
      </c>
      <c r="G33" s="578">
        <v>12.37</v>
      </c>
      <c r="H33" s="562">
        <f t="shared" si="10"/>
        <v>16.48</v>
      </c>
      <c r="I33" s="506">
        <f t="shared" si="11"/>
        <v>12.28</v>
      </c>
      <c r="J33" s="506">
        <f t="shared" si="12"/>
        <v>16.36</v>
      </c>
      <c r="K33" s="578">
        <f t="shared" si="13"/>
        <v>12.2</v>
      </c>
      <c r="L33" s="562">
        <f t="shared" si="14"/>
        <v>16.260000000000002</v>
      </c>
      <c r="M33" s="506">
        <f t="shared" si="15"/>
        <v>11.41</v>
      </c>
      <c r="N33" s="562">
        <f t="shared" si="16"/>
        <v>15.24</v>
      </c>
    </row>
    <row r="34" spans="1:14" s="514" customFormat="1">
      <c r="A34" s="561">
        <v>7891721104831</v>
      </c>
      <c r="B34" s="583" t="s">
        <v>54</v>
      </c>
      <c r="C34" s="139" t="s">
        <v>491</v>
      </c>
      <c r="D34" s="594" t="s">
        <v>299</v>
      </c>
      <c r="E34" s="506">
        <f t="shared" si="8"/>
        <v>13.28</v>
      </c>
      <c r="F34" s="506">
        <f t="shared" si="9"/>
        <v>17.68</v>
      </c>
      <c r="G34" s="578">
        <v>12.91</v>
      </c>
      <c r="H34" s="562">
        <f t="shared" si="10"/>
        <v>17.2</v>
      </c>
      <c r="I34" s="506">
        <f t="shared" si="11"/>
        <v>12.82</v>
      </c>
      <c r="J34" s="506">
        <f t="shared" si="12"/>
        <v>17.079999999999998</v>
      </c>
      <c r="K34" s="578">
        <f t="shared" si="13"/>
        <v>12.73</v>
      </c>
      <c r="L34" s="562">
        <f t="shared" si="14"/>
        <v>16.97</v>
      </c>
      <c r="M34" s="506">
        <f t="shared" si="15"/>
        <v>11.91</v>
      </c>
      <c r="N34" s="562">
        <f t="shared" si="16"/>
        <v>15.91</v>
      </c>
    </row>
    <row r="35" spans="1:14" s="514" customFormat="1">
      <c r="A35" s="561">
        <v>7891721024337</v>
      </c>
      <c r="B35" s="583" t="s">
        <v>50</v>
      </c>
      <c r="C35" s="139" t="s">
        <v>602</v>
      </c>
      <c r="D35" s="594" t="s">
        <v>291</v>
      </c>
      <c r="E35" s="506">
        <f t="shared" si="8"/>
        <v>30.75</v>
      </c>
      <c r="F35" s="506">
        <f t="shared" si="9"/>
        <v>40.93</v>
      </c>
      <c r="G35" s="578">
        <v>29.88</v>
      </c>
      <c r="H35" s="562">
        <f t="shared" si="10"/>
        <v>39.81</v>
      </c>
      <c r="I35" s="506">
        <f t="shared" si="11"/>
        <v>29.67</v>
      </c>
      <c r="J35" s="506">
        <f t="shared" si="12"/>
        <v>39.54</v>
      </c>
      <c r="K35" s="578">
        <f t="shared" si="13"/>
        <v>29.47</v>
      </c>
      <c r="L35" s="562">
        <f t="shared" si="14"/>
        <v>39.28</v>
      </c>
      <c r="M35" s="506">
        <f t="shared" si="15"/>
        <v>27.55</v>
      </c>
      <c r="N35" s="562">
        <f t="shared" si="16"/>
        <v>36.799999999999997</v>
      </c>
    </row>
    <row r="36" spans="1:14" s="514" customFormat="1">
      <c r="A36" s="561">
        <v>7891721100048</v>
      </c>
      <c r="B36" s="583">
        <v>1008900710018</v>
      </c>
      <c r="C36" s="139" t="s">
        <v>2</v>
      </c>
      <c r="D36" s="594" t="s">
        <v>562</v>
      </c>
      <c r="E36" s="506">
        <f t="shared" si="8"/>
        <v>13.4</v>
      </c>
      <c r="F36" s="506">
        <f t="shared" si="9"/>
        <v>17.84</v>
      </c>
      <c r="G36" s="578">
        <v>13.02</v>
      </c>
      <c r="H36" s="562">
        <f t="shared" si="10"/>
        <v>17.350000000000001</v>
      </c>
      <c r="I36" s="506">
        <f t="shared" si="11"/>
        <v>12.93</v>
      </c>
      <c r="J36" s="506">
        <f t="shared" si="12"/>
        <v>17.23</v>
      </c>
      <c r="K36" s="578">
        <f t="shared" si="13"/>
        <v>12.84</v>
      </c>
      <c r="L36" s="562">
        <f t="shared" si="14"/>
        <v>17.11</v>
      </c>
      <c r="M36" s="506">
        <f t="shared" si="15"/>
        <v>12.01</v>
      </c>
      <c r="N36" s="562">
        <f t="shared" si="16"/>
        <v>16.04</v>
      </c>
    </row>
    <row r="37" spans="1:14" s="514" customFormat="1">
      <c r="A37" s="561">
        <v>7891721104923</v>
      </c>
      <c r="B37" s="583" t="s">
        <v>52</v>
      </c>
      <c r="C37" s="139" t="s">
        <v>494</v>
      </c>
      <c r="D37" s="594" t="s">
        <v>283</v>
      </c>
      <c r="E37" s="506">
        <f t="shared" si="8"/>
        <v>12.73</v>
      </c>
      <c r="F37" s="506">
        <f t="shared" si="9"/>
        <v>16.940000000000001</v>
      </c>
      <c r="G37" s="578">
        <v>12.37</v>
      </c>
      <c r="H37" s="562">
        <f t="shared" si="10"/>
        <v>16.48</v>
      </c>
      <c r="I37" s="506">
        <f t="shared" si="11"/>
        <v>12.28</v>
      </c>
      <c r="J37" s="506">
        <f t="shared" si="12"/>
        <v>16.36</v>
      </c>
      <c r="K37" s="578">
        <f t="shared" si="13"/>
        <v>12.2</v>
      </c>
      <c r="L37" s="562">
        <f t="shared" si="14"/>
        <v>16.260000000000002</v>
      </c>
      <c r="M37" s="506">
        <f t="shared" si="15"/>
        <v>11.41</v>
      </c>
      <c r="N37" s="562">
        <f t="shared" si="16"/>
        <v>15.24</v>
      </c>
    </row>
    <row r="38" spans="1:14" s="514" customFormat="1" ht="15">
      <c r="A38" s="553"/>
      <c r="B38" s="582" t="s">
        <v>686</v>
      </c>
      <c r="C38" s="517"/>
      <c r="D38" s="589"/>
      <c r="E38" s="504"/>
      <c r="F38" s="504"/>
      <c r="G38" s="569"/>
      <c r="H38" s="505"/>
      <c r="I38" s="504"/>
      <c r="J38" s="504"/>
      <c r="K38" s="569"/>
      <c r="L38" s="505"/>
      <c r="M38" s="504"/>
      <c r="N38" s="505"/>
    </row>
    <row r="39" spans="1:14" s="514" customFormat="1">
      <c r="A39" s="561">
        <v>7891721024481</v>
      </c>
      <c r="B39" s="583">
        <v>1008903780020</v>
      </c>
      <c r="C39" s="139" t="s">
        <v>688</v>
      </c>
      <c r="D39" s="594" t="s">
        <v>687</v>
      </c>
      <c r="E39" s="506">
        <f>ROUND(G39*1.028952,2)</f>
        <v>28.18</v>
      </c>
      <c r="F39" s="506">
        <f>ROUND(E39/0.751296,2)</f>
        <v>37.51</v>
      </c>
      <c r="G39" s="578">
        <v>27.382721393496738</v>
      </c>
      <c r="H39" s="562">
        <f>ROUND(G39/0.750577,2)</f>
        <v>36.479999999999997</v>
      </c>
      <c r="I39" s="506">
        <f>ROUND(G39*0.993015,2)</f>
        <v>27.19</v>
      </c>
      <c r="J39" s="506">
        <f>ROUND(I39/0.750402,2)</f>
        <v>36.229999999999997</v>
      </c>
      <c r="K39" s="578">
        <f>ROUND(G39*0.986128,2)</f>
        <v>27</v>
      </c>
      <c r="L39" s="562">
        <f>ROUND(K39/0.75023,2)</f>
        <v>35.99</v>
      </c>
      <c r="M39" s="506">
        <f>ROUND(G39*0.922175,2)</f>
        <v>25.25</v>
      </c>
      <c r="N39" s="562">
        <f>ROUND(M39/0.748624,2)</f>
        <v>33.729999999999997</v>
      </c>
    </row>
    <row r="40" spans="1:14" s="514" customFormat="1">
      <c r="A40" s="561">
        <v>7891721024474</v>
      </c>
      <c r="B40" s="583">
        <v>1008903780012</v>
      </c>
      <c r="C40" s="139">
        <v>3183650004</v>
      </c>
      <c r="D40" s="594" t="s">
        <v>712</v>
      </c>
      <c r="E40" s="506">
        <f>ROUND(G40*1.028952,2)</f>
        <v>9.3800000000000008</v>
      </c>
      <c r="F40" s="506">
        <f>ROUND(E40/0.751296,2)</f>
        <v>12.49</v>
      </c>
      <c r="G40" s="578">
        <v>9.1207032116088111</v>
      </c>
      <c r="H40" s="562">
        <f>ROUND(G40/0.750577,2)</f>
        <v>12.15</v>
      </c>
      <c r="I40" s="506">
        <f>ROUND(G40*0.993015,2)</f>
        <v>9.06</v>
      </c>
      <c r="J40" s="506">
        <f>ROUND(I40/0.750402,2)</f>
        <v>12.07</v>
      </c>
      <c r="K40" s="578">
        <f>ROUND(G40*0.986128,2)</f>
        <v>8.99</v>
      </c>
      <c r="L40" s="562">
        <f>ROUND(K40/0.75023,2)</f>
        <v>11.98</v>
      </c>
      <c r="M40" s="506">
        <f>ROUND(G40*0.922175,2)</f>
        <v>8.41</v>
      </c>
      <c r="N40" s="562">
        <f>ROUND(M40/0.748624,2)</f>
        <v>11.23</v>
      </c>
    </row>
    <row r="41" spans="1:14" s="514" customFormat="1" ht="15">
      <c r="A41" s="553"/>
      <c r="B41" s="585" t="s">
        <v>5</v>
      </c>
      <c r="C41" s="523"/>
      <c r="D41" s="593"/>
      <c r="E41" s="504"/>
      <c r="F41" s="504"/>
      <c r="G41" s="569"/>
      <c r="H41" s="505"/>
      <c r="I41" s="504"/>
      <c r="J41" s="504"/>
      <c r="K41" s="569"/>
      <c r="L41" s="505"/>
      <c r="M41" s="504"/>
      <c r="N41" s="505"/>
    </row>
    <row r="42" spans="1:14" s="514" customFormat="1">
      <c r="A42" s="561">
        <v>7891721016202</v>
      </c>
      <c r="B42" s="583" t="s">
        <v>24</v>
      </c>
      <c r="C42" s="139" t="s">
        <v>8</v>
      </c>
      <c r="D42" s="601" t="s">
        <v>11</v>
      </c>
      <c r="E42" s="507">
        <f t="shared" ref="E42:E48" si="17">ROUND(G42*1.028952,2)</f>
        <v>15.47</v>
      </c>
      <c r="F42" s="507">
        <f t="shared" ref="F42:F48" si="18">ROUND(E42/0.751296,2)</f>
        <v>20.59</v>
      </c>
      <c r="G42" s="578">
        <v>15.031509054029229</v>
      </c>
      <c r="H42" s="560">
        <f t="shared" ref="H42:H48" si="19">ROUND(G42/0.750577,2)</f>
        <v>20.03</v>
      </c>
      <c r="I42" s="507">
        <f t="shared" ref="I42:I48" si="20">ROUND(G42*0.993015,2)</f>
        <v>14.93</v>
      </c>
      <c r="J42" s="507">
        <f t="shared" ref="J42:J48" si="21">ROUND(I42/0.750402,2)</f>
        <v>19.899999999999999</v>
      </c>
      <c r="K42" s="573">
        <f t="shared" ref="K42:K48" si="22">ROUND(G42*0.986128,2)</f>
        <v>14.82</v>
      </c>
      <c r="L42" s="560">
        <f t="shared" ref="L42:L48" si="23">ROUND(K42/0.75023,2)</f>
        <v>19.75</v>
      </c>
      <c r="M42" s="507">
        <f t="shared" ref="M42:M48" si="24">ROUND(G42*0.922175,2)</f>
        <v>13.86</v>
      </c>
      <c r="N42" s="560">
        <f t="shared" ref="N42:N48" si="25">ROUND(M42/0.748624,2)</f>
        <v>18.510000000000002</v>
      </c>
    </row>
    <row r="43" spans="1:14" s="514" customFormat="1">
      <c r="A43" s="561">
        <v>7891721016219</v>
      </c>
      <c r="B43" s="583" t="s">
        <v>23</v>
      </c>
      <c r="C43" s="139" t="s">
        <v>6</v>
      </c>
      <c r="D43" s="594" t="s">
        <v>9</v>
      </c>
      <c r="E43" s="506">
        <f t="shared" si="17"/>
        <v>15.47</v>
      </c>
      <c r="F43" s="506">
        <f t="shared" si="18"/>
        <v>20.59</v>
      </c>
      <c r="G43" s="578">
        <v>15.031509054029229</v>
      </c>
      <c r="H43" s="562">
        <f t="shared" si="19"/>
        <v>20.03</v>
      </c>
      <c r="I43" s="506">
        <f t="shared" si="20"/>
        <v>14.93</v>
      </c>
      <c r="J43" s="506">
        <f t="shared" si="21"/>
        <v>19.899999999999999</v>
      </c>
      <c r="K43" s="578">
        <f t="shared" si="22"/>
        <v>14.82</v>
      </c>
      <c r="L43" s="562">
        <f t="shared" si="23"/>
        <v>19.75</v>
      </c>
      <c r="M43" s="506">
        <f t="shared" si="24"/>
        <v>13.86</v>
      </c>
      <c r="N43" s="562">
        <f t="shared" si="25"/>
        <v>18.510000000000002</v>
      </c>
    </row>
    <row r="44" spans="1:14" s="514" customFormat="1">
      <c r="A44" s="561">
        <v>7891721016226</v>
      </c>
      <c r="B44" s="583" t="s">
        <v>25</v>
      </c>
      <c r="C44" s="139" t="s">
        <v>7</v>
      </c>
      <c r="D44" s="594" t="s">
        <v>10</v>
      </c>
      <c r="E44" s="506">
        <f t="shared" si="17"/>
        <v>15.47</v>
      </c>
      <c r="F44" s="506">
        <f t="shared" si="18"/>
        <v>20.59</v>
      </c>
      <c r="G44" s="578">
        <v>15.031509054029229</v>
      </c>
      <c r="H44" s="562">
        <f t="shared" si="19"/>
        <v>20.03</v>
      </c>
      <c r="I44" s="506">
        <f t="shared" si="20"/>
        <v>14.93</v>
      </c>
      <c r="J44" s="506">
        <f t="shared" si="21"/>
        <v>19.899999999999999</v>
      </c>
      <c r="K44" s="578">
        <f t="shared" si="22"/>
        <v>14.82</v>
      </c>
      <c r="L44" s="562">
        <f t="shared" si="23"/>
        <v>19.75</v>
      </c>
      <c r="M44" s="506">
        <f t="shared" si="24"/>
        <v>13.86</v>
      </c>
      <c r="N44" s="562">
        <f t="shared" si="25"/>
        <v>18.510000000000002</v>
      </c>
    </row>
    <row r="45" spans="1:14" s="514" customFormat="1">
      <c r="A45" s="561">
        <v>7891721023439</v>
      </c>
      <c r="B45" s="583">
        <v>1008903360080</v>
      </c>
      <c r="C45" s="139" t="s">
        <v>605</v>
      </c>
      <c r="D45" s="594" t="s">
        <v>603</v>
      </c>
      <c r="E45" s="506">
        <f t="shared" si="17"/>
        <v>15.47</v>
      </c>
      <c r="F45" s="506">
        <f t="shared" si="18"/>
        <v>20.59</v>
      </c>
      <c r="G45" s="578">
        <v>15.031509054029229</v>
      </c>
      <c r="H45" s="562">
        <f t="shared" si="19"/>
        <v>20.03</v>
      </c>
      <c r="I45" s="506">
        <f t="shared" si="20"/>
        <v>14.93</v>
      </c>
      <c r="J45" s="506">
        <f t="shared" si="21"/>
        <v>19.899999999999999</v>
      </c>
      <c r="K45" s="578">
        <f t="shared" si="22"/>
        <v>14.82</v>
      </c>
      <c r="L45" s="562">
        <f t="shared" si="23"/>
        <v>19.75</v>
      </c>
      <c r="M45" s="506">
        <f t="shared" si="24"/>
        <v>13.86</v>
      </c>
      <c r="N45" s="562">
        <f t="shared" si="25"/>
        <v>18.510000000000002</v>
      </c>
    </row>
    <row r="46" spans="1:14" s="514" customFormat="1">
      <c r="A46" s="561">
        <v>7891721024719</v>
      </c>
      <c r="B46" s="583">
        <v>1008903360099</v>
      </c>
      <c r="C46" s="139" t="s">
        <v>606</v>
      </c>
      <c r="D46" s="594" t="s">
        <v>604</v>
      </c>
      <c r="E46" s="506">
        <f t="shared" si="17"/>
        <v>15.47</v>
      </c>
      <c r="F46" s="506">
        <f t="shared" si="18"/>
        <v>20.59</v>
      </c>
      <c r="G46" s="578">
        <v>15.031509054029229</v>
      </c>
      <c r="H46" s="562">
        <f t="shared" si="19"/>
        <v>20.03</v>
      </c>
      <c r="I46" s="506">
        <f t="shared" si="20"/>
        <v>14.93</v>
      </c>
      <c r="J46" s="506">
        <f t="shared" si="21"/>
        <v>19.899999999999999</v>
      </c>
      <c r="K46" s="578">
        <f t="shared" si="22"/>
        <v>14.82</v>
      </c>
      <c r="L46" s="562">
        <f t="shared" si="23"/>
        <v>19.75</v>
      </c>
      <c r="M46" s="506">
        <f t="shared" si="24"/>
        <v>13.86</v>
      </c>
      <c r="N46" s="562">
        <f t="shared" si="25"/>
        <v>18.510000000000002</v>
      </c>
    </row>
    <row r="47" spans="1:14" s="514" customFormat="1">
      <c r="A47" s="561">
        <v>7891721024726</v>
      </c>
      <c r="B47" s="583">
        <v>1008903360137</v>
      </c>
      <c r="C47" s="139" t="s">
        <v>663</v>
      </c>
      <c r="D47" s="594" t="s">
        <v>662</v>
      </c>
      <c r="E47" s="506">
        <f t="shared" si="17"/>
        <v>16.21</v>
      </c>
      <c r="F47" s="506">
        <f t="shared" si="18"/>
        <v>21.58</v>
      </c>
      <c r="G47" s="578">
        <v>15.751156486824962</v>
      </c>
      <c r="H47" s="562">
        <f t="shared" si="19"/>
        <v>20.99</v>
      </c>
      <c r="I47" s="506">
        <f t="shared" si="20"/>
        <v>15.64</v>
      </c>
      <c r="J47" s="506">
        <f t="shared" si="21"/>
        <v>20.84</v>
      </c>
      <c r="K47" s="578">
        <f t="shared" si="22"/>
        <v>15.53</v>
      </c>
      <c r="L47" s="562">
        <f t="shared" si="23"/>
        <v>20.7</v>
      </c>
      <c r="M47" s="506">
        <f t="shared" si="24"/>
        <v>14.53</v>
      </c>
      <c r="N47" s="562">
        <f t="shared" si="25"/>
        <v>19.41</v>
      </c>
    </row>
    <row r="48" spans="1:14" s="514" customFormat="1">
      <c r="A48" s="561">
        <v>7891721022937</v>
      </c>
      <c r="B48" s="583">
        <v>1008903360102</v>
      </c>
      <c r="C48" s="139" t="s">
        <v>578</v>
      </c>
      <c r="D48" s="594" t="s">
        <v>577</v>
      </c>
      <c r="E48" s="506">
        <f t="shared" si="17"/>
        <v>16.21</v>
      </c>
      <c r="F48" s="506">
        <f t="shared" si="18"/>
        <v>21.58</v>
      </c>
      <c r="G48" s="578">
        <v>15.751156486824962</v>
      </c>
      <c r="H48" s="562">
        <f t="shared" si="19"/>
        <v>20.99</v>
      </c>
      <c r="I48" s="506">
        <f t="shared" si="20"/>
        <v>15.64</v>
      </c>
      <c r="J48" s="506">
        <f t="shared" si="21"/>
        <v>20.84</v>
      </c>
      <c r="K48" s="578">
        <f t="shared" si="22"/>
        <v>15.53</v>
      </c>
      <c r="L48" s="562">
        <f t="shared" si="23"/>
        <v>20.7</v>
      </c>
      <c r="M48" s="506">
        <f t="shared" si="24"/>
        <v>14.53</v>
      </c>
      <c r="N48" s="562">
        <f t="shared" si="25"/>
        <v>19.41</v>
      </c>
    </row>
    <row r="49" spans="1:14" s="514" customFormat="1" ht="15">
      <c r="A49" s="553"/>
      <c r="B49" s="585" t="s">
        <v>312</v>
      </c>
      <c r="C49" s="523"/>
      <c r="D49" s="593"/>
      <c r="E49" s="504"/>
      <c r="F49" s="504"/>
      <c r="G49" s="569"/>
      <c r="H49" s="505"/>
      <c r="I49" s="504"/>
      <c r="J49" s="504"/>
      <c r="K49" s="569"/>
      <c r="L49" s="505"/>
      <c r="M49" s="504"/>
      <c r="N49" s="505"/>
    </row>
    <row r="50" spans="1:14" s="514" customFormat="1">
      <c r="A50" s="561">
        <v>7891721000126</v>
      </c>
      <c r="B50" s="583" t="s">
        <v>15</v>
      </c>
      <c r="C50" s="139" t="s">
        <v>650</v>
      </c>
      <c r="D50" s="601" t="s">
        <v>287</v>
      </c>
      <c r="E50" s="507">
        <f>ROUND(G50*1.028952,2)</f>
        <v>21.97</v>
      </c>
      <c r="F50" s="507">
        <f>ROUND(E50/0.751296,2)</f>
        <v>29.24</v>
      </c>
      <c r="G50" s="578">
        <v>21.356297759163578</v>
      </c>
      <c r="H50" s="560">
        <f>ROUND(G50/0.750577,2)</f>
        <v>28.45</v>
      </c>
      <c r="I50" s="507">
        <f>ROUND(G50*0.993015,2)</f>
        <v>21.21</v>
      </c>
      <c r="J50" s="507">
        <f>ROUND(I50/0.750402,2)</f>
        <v>28.26</v>
      </c>
      <c r="K50" s="573">
        <f>ROUND(G50*0.986128,2)</f>
        <v>21.06</v>
      </c>
      <c r="L50" s="560">
        <f>ROUND(K50/0.75023,2)</f>
        <v>28.07</v>
      </c>
      <c r="M50" s="507">
        <f>ROUND(G50*0.922175,2)</f>
        <v>19.690000000000001</v>
      </c>
      <c r="N50" s="560">
        <f>ROUND(M50/0.748624,2)</f>
        <v>26.3</v>
      </c>
    </row>
    <row r="51" spans="1:14" s="514" customFormat="1">
      <c r="A51" s="561">
        <v>7891721001970</v>
      </c>
      <c r="B51" s="583" t="s">
        <v>16</v>
      </c>
      <c r="C51" s="139" t="s">
        <v>651</v>
      </c>
      <c r="D51" s="594" t="s">
        <v>288</v>
      </c>
      <c r="E51" s="506">
        <f>ROUND(G51*1.028952,2)</f>
        <v>27.06</v>
      </c>
      <c r="F51" s="506">
        <f>ROUND(E51/0.751296,2)</f>
        <v>36.020000000000003</v>
      </c>
      <c r="G51" s="578">
        <v>26.302606874717359</v>
      </c>
      <c r="H51" s="562">
        <f>ROUND(G51/0.750577,2)</f>
        <v>35.04</v>
      </c>
      <c r="I51" s="506">
        <f>ROUND(G51*0.993015,2)</f>
        <v>26.12</v>
      </c>
      <c r="J51" s="506">
        <f>ROUND(I51/0.750402,2)</f>
        <v>34.81</v>
      </c>
      <c r="K51" s="578">
        <f>ROUND(G51*0.986128,2)</f>
        <v>25.94</v>
      </c>
      <c r="L51" s="562">
        <f>ROUND(K51/0.75023,2)</f>
        <v>34.58</v>
      </c>
      <c r="M51" s="506">
        <f>ROUND(G51*0.922175,2)</f>
        <v>24.26</v>
      </c>
      <c r="N51" s="562">
        <f>ROUND(M51/0.748624,2)</f>
        <v>32.409999999999997</v>
      </c>
    </row>
    <row r="52" spans="1:14" s="673" customFormat="1">
      <c r="A52" s="667">
        <v>7891721020940</v>
      </c>
      <c r="B52" s="668">
        <v>1008900900483</v>
      </c>
      <c r="C52" s="665" t="s">
        <v>647</v>
      </c>
      <c r="D52" s="669" t="s">
        <v>444</v>
      </c>
      <c r="E52" s="670">
        <f>ROUND(G52*1.028952,2)</f>
        <v>27.06</v>
      </c>
      <c r="F52" s="670">
        <f>ROUND(E52/0.751296,2)</f>
        <v>36.020000000000003</v>
      </c>
      <c r="G52" s="671">
        <v>26.3</v>
      </c>
      <c r="H52" s="672">
        <f>ROUND(G52/0.750577,2)</f>
        <v>35.04</v>
      </c>
      <c r="I52" s="670">
        <f>ROUND(G52*0.993015,2)</f>
        <v>26.12</v>
      </c>
      <c r="J52" s="670">
        <f>ROUND(I52/0.750402,2)</f>
        <v>34.81</v>
      </c>
      <c r="K52" s="671">
        <f>ROUND(G52*0.986128,2)</f>
        <v>25.94</v>
      </c>
      <c r="L52" s="672">
        <f>ROUND(K52/0.75023,2)</f>
        <v>34.58</v>
      </c>
      <c r="M52" s="670">
        <f>ROUND(G52*0.922175,2)</f>
        <v>24.25</v>
      </c>
      <c r="N52" s="672">
        <f>ROUND(M52/0.748624,2)</f>
        <v>32.39</v>
      </c>
    </row>
    <row r="53" spans="1:14" s="673" customFormat="1">
      <c r="A53" s="667">
        <v>7891721020933</v>
      </c>
      <c r="B53" s="668">
        <v>1008900900513</v>
      </c>
      <c r="C53" s="665" t="s">
        <v>646</v>
      </c>
      <c r="D53" s="669" t="s">
        <v>445</v>
      </c>
      <c r="E53" s="670">
        <f>ROUND(G53*1.028952,2)</f>
        <v>30.56</v>
      </c>
      <c r="F53" s="670">
        <f>ROUND(E53/0.751296,2)</f>
        <v>40.68</v>
      </c>
      <c r="G53" s="671">
        <v>29.7</v>
      </c>
      <c r="H53" s="672">
        <f>ROUND(G53/0.750577,2)</f>
        <v>39.57</v>
      </c>
      <c r="I53" s="670">
        <f>ROUND(G53*0.993015,2)</f>
        <v>29.49</v>
      </c>
      <c r="J53" s="670">
        <f>ROUND(I53/0.750402,2)</f>
        <v>39.299999999999997</v>
      </c>
      <c r="K53" s="671">
        <f>ROUND(G53*0.986128,2)</f>
        <v>29.29</v>
      </c>
      <c r="L53" s="672">
        <f>ROUND(K53/0.75023,2)</f>
        <v>39.04</v>
      </c>
      <c r="M53" s="670">
        <f>ROUND(G53*0.922175,2)</f>
        <v>27.39</v>
      </c>
      <c r="N53" s="672">
        <f>ROUND(M53/0.748624,2)</f>
        <v>36.590000000000003</v>
      </c>
    </row>
    <row r="54" spans="1:14" s="514" customFormat="1">
      <c r="A54" s="561">
        <v>7891721018893</v>
      </c>
      <c r="B54" s="583">
        <v>1008900900394</v>
      </c>
      <c r="C54" s="139" t="s">
        <v>443</v>
      </c>
      <c r="D54" s="594" t="s">
        <v>461</v>
      </c>
      <c r="E54" s="506">
        <f>ROUND(G54*1.028952,2)</f>
        <v>112.9</v>
      </c>
      <c r="F54" s="506">
        <f>ROUND(E54/0.751296,2)</f>
        <v>150.27000000000001</v>
      </c>
      <c r="G54" s="578">
        <v>109.72089380301173</v>
      </c>
      <c r="H54" s="562">
        <f>ROUND(G54/0.750577,2)</f>
        <v>146.18</v>
      </c>
      <c r="I54" s="506">
        <f>ROUND(G54*0.993015,2)</f>
        <v>108.95</v>
      </c>
      <c r="J54" s="506">
        <f>ROUND(I54/0.750402,2)</f>
        <v>145.19</v>
      </c>
      <c r="K54" s="578">
        <f>ROUND(G54*0.986128,2)</f>
        <v>108.2</v>
      </c>
      <c r="L54" s="562">
        <f>ROUND(K54/0.75023,2)</f>
        <v>144.22</v>
      </c>
      <c r="M54" s="506">
        <f>ROUND(G54*0.922175,2)</f>
        <v>101.18</v>
      </c>
      <c r="N54" s="562">
        <f>ROUND(M54/0.748624,2)</f>
        <v>135.15</v>
      </c>
    </row>
    <row r="55" spans="1:14" s="514" customFormat="1">
      <c r="A55" s="227"/>
      <c r="B55" s="586"/>
      <c r="C55" s="93"/>
      <c r="D55" s="595" t="s">
        <v>317</v>
      </c>
      <c r="E55" s="524"/>
      <c r="F55" s="518">
        <f>ROUND(F54/25,2)</f>
        <v>6.01</v>
      </c>
      <c r="G55" s="570"/>
      <c r="H55" s="555">
        <f>ROUND(H54/25,2)</f>
        <v>5.85</v>
      </c>
      <c r="I55" s="525"/>
      <c r="J55" s="518">
        <f>ROUND(J54/25,2)</f>
        <v>5.81</v>
      </c>
      <c r="K55" s="577"/>
      <c r="L55" s="555">
        <f>ROUND(L54/25,2)</f>
        <v>5.77</v>
      </c>
      <c r="M55" s="525"/>
      <c r="N55" s="560">
        <f>ROUND(N54/25,2)</f>
        <v>5.41</v>
      </c>
    </row>
    <row r="56" spans="1:14" s="514" customFormat="1" ht="15">
      <c r="A56" s="553"/>
      <c r="B56" s="585" t="s">
        <v>569</v>
      </c>
      <c r="C56" s="523"/>
      <c r="D56" s="593"/>
      <c r="E56" s="504"/>
      <c r="F56" s="504"/>
      <c r="G56" s="569"/>
      <c r="H56" s="505"/>
      <c r="I56" s="504"/>
      <c r="J56" s="504"/>
      <c r="K56" s="569"/>
      <c r="L56" s="505"/>
      <c r="M56" s="504"/>
      <c r="N56" s="505"/>
    </row>
    <row r="57" spans="1:14" s="514" customFormat="1">
      <c r="A57" s="561">
        <v>7891721019067</v>
      </c>
      <c r="B57" s="583">
        <v>1008900900459</v>
      </c>
      <c r="C57" s="139" t="s">
        <v>652</v>
      </c>
      <c r="D57" s="601" t="s">
        <v>570</v>
      </c>
      <c r="E57" s="507">
        <f>ROUND(G57*1.028952,2)</f>
        <v>32.69</v>
      </c>
      <c r="F57" s="507">
        <f>ROUND(E57/0.751296,2)</f>
        <v>43.51</v>
      </c>
      <c r="G57" s="578">
        <v>31.765845836363859</v>
      </c>
      <c r="H57" s="560">
        <f>ROUND(G57/0.750577,2)</f>
        <v>42.32</v>
      </c>
      <c r="I57" s="507">
        <f>ROUND(G57*0.993015,2)</f>
        <v>31.54</v>
      </c>
      <c r="J57" s="507">
        <f>ROUND(I57/0.750402,2)</f>
        <v>42.03</v>
      </c>
      <c r="K57" s="573">
        <v>31.32</v>
      </c>
      <c r="L57" s="560">
        <f>ROUND(K57/0.75023,2)</f>
        <v>41.75</v>
      </c>
      <c r="M57" s="507">
        <f>ROUND(G57*0.922175,2)</f>
        <v>29.29</v>
      </c>
      <c r="N57" s="560">
        <f>ROUND(M57/0.748624,2)</f>
        <v>39.130000000000003</v>
      </c>
    </row>
    <row r="58" spans="1:14" s="514" customFormat="1">
      <c r="A58" s="561">
        <v>7891721019074</v>
      </c>
      <c r="B58" s="583">
        <v>1008900900467</v>
      </c>
      <c r="C58" s="139" t="s">
        <v>653</v>
      </c>
      <c r="D58" s="594" t="s">
        <v>571</v>
      </c>
      <c r="E58" s="506">
        <f>ROUND(G58*1.028952,2)</f>
        <v>65.34</v>
      </c>
      <c r="F58" s="506">
        <f>ROUND(E58/0.751296,2)</f>
        <v>86.97</v>
      </c>
      <c r="G58" s="578">
        <v>63.501284034722261</v>
      </c>
      <c r="H58" s="562">
        <f>ROUND(G58/0.750577,2)</f>
        <v>84.6</v>
      </c>
      <c r="I58" s="506">
        <f>ROUND(G58*0.993015,2)</f>
        <v>63.06</v>
      </c>
      <c r="J58" s="506">
        <f>ROUND(I58/0.750402,2)</f>
        <v>84.03</v>
      </c>
      <c r="K58" s="578">
        <f>ROUND(G58*0.986128,2)</f>
        <v>62.62</v>
      </c>
      <c r="L58" s="562">
        <f>ROUND(K58/0.75023,2)</f>
        <v>83.47</v>
      </c>
      <c r="M58" s="506">
        <f>ROUND(G58*0.922175,2)</f>
        <v>58.56</v>
      </c>
      <c r="N58" s="562">
        <f>ROUND(M58/0.748624,2)</f>
        <v>78.22</v>
      </c>
    </row>
    <row r="59" spans="1:14" s="514" customFormat="1">
      <c r="A59" s="561">
        <v>7891721021046</v>
      </c>
      <c r="B59" s="583">
        <v>1008900900637</v>
      </c>
      <c r="C59" s="139" t="s">
        <v>649</v>
      </c>
      <c r="D59" s="594" t="s">
        <v>572</v>
      </c>
      <c r="E59" s="506">
        <f>ROUND(G59*1.028952,2)</f>
        <v>34.340000000000003</v>
      </c>
      <c r="F59" s="506">
        <f>ROUND(E59/0.751296,2)</f>
        <v>45.71</v>
      </c>
      <c r="G59" s="578">
        <v>33.377450650652897</v>
      </c>
      <c r="H59" s="562">
        <f>ROUND(G59/0.750577,2)</f>
        <v>44.47</v>
      </c>
      <c r="I59" s="506">
        <f>ROUND(G59*0.993015,2)</f>
        <v>33.14</v>
      </c>
      <c r="J59" s="506">
        <f>ROUND(I59/0.750402,2)</f>
        <v>44.16</v>
      </c>
      <c r="K59" s="578">
        <f>ROUND(G59*0.986128,2)</f>
        <v>32.909999999999997</v>
      </c>
      <c r="L59" s="562">
        <f>ROUND(K59/0.75023,2)</f>
        <v>43.87</v>
      </c>
      <c r="M59" s="506">
        <f>ROUND(G59*0.922175,2)</f>
        <v>30.78</v>
      </c>
      <c r="N59" s="562">
        <f>ROUND(M59/0.748624,2)</f>
        <v>41.12</v>
      </c>
    </row>
    <row r="60" spans="1:14" s="514" customFormat="1">
      <c r="A60" s="561">
        <v>7891721021039</v>
      </c>
      <c r="B60" s="583">
        <v>1008900900645</v>
      </c>
      <c r="C60" s="548" t="s">
        <v>648</v>
      </c>
      <c r="D60" s="594" t="s">
        <v>573</v>
      </c>
      <c r="E60" s="506">
        <f>ROUND(G60*1.028952,2)</f>
        <v>68.7</v>
      </c>
      <c r="F60" s="506">
        <f>ROUND(E60/0.751296,2)</f>
        <v>91.44</v>
      </c>
      <c r="G60" s="578">
        <v>66.765037180640945</v>
      </c>
      <c r="H60" s="562">
        <f>ROUND(G60/0.750577,2)</f>
        <v>88.95</v>
      </c>
      <c r="I60" s="506">
        <f>ROUND(G60*0.993015,2)</f>
        <v>66.3</v>
      </c>
      <c r="J60" s="506">
        <f>ROUND(I60/0.750402,2)</f>
        <v>88.35</v>
      </c>
      <c r="K60" s="578">
        <f>ROUND(G60*0.986128,2)</f>
        <v>65.84</v>
      </c>
      <c r="L60" s="562">
        <f>ROUND(K60/0.75023,2)</f>
        <v>87.76</v>
      </c>
      <c r="M60" s="506">
        <f>ROUND(G60*0.922175,2)</f>
        <v>61.57</v>
      </c>
      <c r="N60" s="562">
        <f>ROUND(M60/0.748624,2)</f>
        <v>82.24</v>
      </c>
    </row>
    <row r="61" spans="1:14" s="514" customFormat="1" ht="15">
      <c r="A61" s="553"/>
      <c r="B61" s="585" t="s">
        <v>747</v>
      </c>
      <c r="C61" s="523"/>
      <c r="D61" s="593"/>
      <c r="E61" s="504"/>
      <c r="F61" s="504"/>
      <c r="G61" s="569"/>
      <c r="H61" s="505"/>
      <c r="I61" s="504"/>
      <c r="J61" s="504"/>
      <c r="K61" s="569"/>
      <c r="L61" s="505"/>
      <c r="M61" s="504"/>
      <c r="N61" s="505"/>
    </row>
    <row r="62" spans="1:14" s="514" customFormat="1">
      <c r="A62" s="561">
        <v>7891721026539</v>
      </c>
      <c r="B62" s="583">
        <v>1008900900378</v>
      </c>
      <c r="C62" s="139">
        <v>3191730002</v>
      </c>
      <c r="D62" s="601" t="s">
        <v>748</v>
      </c>
      <c r="E62" s="507">
        <f>ROUND(G62*1.028952,2)</f>
        <v>31.84</v>
      </c>
      <c r="F62" s="507">
        <f>ROUND(E62/0.751296,2)</f>
        <v>42.38</v>
      </c>
      <c r="G62" s="573">
        <v>30.94</v>
      </c>
      <c r="H62" s="560">
        <f>ROUND(G62/0.750577,2)</f>
        <v>41.22</v>
      </c>
      <c r="I62" s="507">
        <f>ROUND(G62*0.993015,2)</f>
        <v>30.72</v>
      </c>
      <c r="J62" s="507">
        <f>ROUND(I62/0.750402,2)</f>
        <v>40.94</v>
      </c>
      <c r="K62" s="573">
        <f>ROUND(G62*0.986128,2)</f>
        <v>30.51</v>
      </c>
      <c r="L62" s="560">
        <f>ROUND(K62/0.75023,2)</f>
        <v>40.67</v>
      </c>
      <c r="M62" s="507">
        <f>ROUND(G62*0.922175,2)</f>
        <v>28.53</v>
      </c>
      <c r="N62" s="560">
        <f>ROUND(M62/0.748624,2)</f>
        <v>38.11</v>
      </c>
    </row>
    <row r="63" spans="1:14" s="514" customFormat="1">
      <c r="A63" s="561">
        <v>7891721026546</v>
      </c>
      <c r="B63" s="583">
        <v>1008900900671</v>
      </c>
      <c r="C63" s="139">
        <v>3191730001</v>
      </c>
      <c r="D63" s="594" t="s">
        <v>749</v>
      </c>
      <c r="E63" s="506">
        <f>ROUND(G63*1.028952,2)</f>
        <v>46.34</v>
      </c>
      <c r="F63" s="506">
        <f>ROUND(E63/0.751296,2)</f>
        <v>61.68</v>
      </c>
      <c r="G63" s="573">
        <v>45.04</v>
      </c>
      <c r="H63" s="562">
        <f>ROUND(G63/0.750577,2)</f>
        <v>60.01</v>
      </c>
      <c r="I63" s="506">
        <f>ROUND(G63*0.993015,2)</f>
        <v>44.73</v>
      </c>
      <c r="J63" s="506">
        <f>ROUND(I63/0.750402,2)</f>
        <v>59.61</v>
      </c>
      <c r="K63" s="578">
        <f>ROUND(G63*0.986128,2)</f>
        <v>44.42</v>
      </c>
      <c r="L63" s="562">
        <f>ROUND(K63/0.75023,2)</f>
        <v>59.21</v>
      </c>
      <c r="M63" s="506">
        <f>ROUND(G63*0.922175,2)</f>
        <v>41.53</v>
      </c>
      <c r="N63" s="562">
        <f>ROUND(M63/0.748624,2)</f>
        <v>55.48</v>
      </c>
    </row>
    <row r="64" spans="1:14" s="673" customFormat="1">
      <c r="A64" s="667">
        <v>7891721026454</v>
      </c>
      <c r="B64" s="668">
        <v>1008900900548</v>
      </c>
      <c r="C64" s="665">
        <v>3191710002</v>
      </c>
      <c r="D64" s="669" t="s">
        <v>750</v>
      </c>
      <c r="E64" s="670">
        <f>ROUND(G64*1.028952,2)</f>
        <v>31.84</v>
      </c>
      <c r="F64" s="670">
        <f>ROUND(E64/0.751296,2)</f>
        <v>42.38</v>
      </c>
      <c r="G64" s="674">
        <v>30.94</v>
      </c>
      <c r="H64" s="672">
        <f>ROUND(G64/0.750577,2)</f>
        <v>41.22</v>
      </c>
      <c r="I64" s="670">
        <f>ROUND(G64*0.993015,2)</f>
        <v>30.72</v>
      </c>
      <c r="J64" s="670">
        <f>ROUND(I64/0.750402,2)</f>
        <v>40.94</v>
      </c>
      <c r="K64" s="671">
        <f>ROUND(G64*0.986128,2)</f>
        <v>30.51</v>
      </c>
      <c r="L64" s="672">
        <f>ROUND(K64/0.75023,2)</f>
        <v>40.67</v>
      </c>
      <c r="M64" s="670">
        <f>ROUND(G64*0.922175,2)</f>
        <v>28.53</v>
      </c>
      <c r="N64" s="672">
        <f>ROUND(M64/0.748624,2)</f>
        <v>38.11</v>
      </c>
    </row>
    <row r="65" spans="1:14" s="673" customFormat="1">
      <c r="A65" s="667">
        <v>7891721026478</v>
      </c>
      <c r="B65" s="668">
        <v>1008900900564</v>
      </c>
      <c r="C65" s="666">
        <v>3191710001</v>
      </c>
      <c r="D65" s="669" t="s">
        <v>751</v>
      </c>
      <c r="E65" s="670">
        <f>ROUND(G65*1.028952,2)</f>
        <v>46.34</v>
      </c>
      <c r="F65" s="670">
        <f>ROUND(E65/0.751296,2)</f>
        <v>61.68</v>
      </c>
      <c r="G65" s="674">
        <v>45.04</v>
      </c>
      <c r="H65" s="672">
        <f>ROUND(G65/0.750577,2)</f>
        <v>60.01</v>
      </c>
      <c r="I65" s="670">
        <f>ROUND(G65*0.993015,2)</f>
        <v>44.73</v>
      </c>
      <c r="J65" s="670">
        <f>ROUND(I65/0.750402,2)</f>
        <v>59.61</v>
      </c>
      <c r="K65" s="671">
        <f>ROUND(G65*0.986128,2)</f>
        <v>44.42</v>
      </c>
      <c r="L65" s="672">
        <f>ROUND(K65/0.75023,2)</f>
        <v>59.21</v>
      </c>
      <c r="M65" s="670">
        <f>ROUND(G65*0.922175,2)</f>
        <v>41.53</v>
      </c>
      <c r="N65" s="672">
        <f>ROUND(M65/0.748624,2)</f>
        <v>55.48</v>
      </c>
    </row>
    <row r="66" spans="1:14" s="514" customFormat="1">
      <c r="A66" s="556"/>
      <c r="B66" s="584"/>
      <c r="C66" s="519"/>
      <c r="D66" s="592"/>
      <c r="E66" s="520"/>
      <c r="F66" s="521"/>
      <c r="G66" s="571"/>
      <c r="H66" s="557"/>
      <c r="I66" s="522"/>
      <c r="J66" s="521"/>
      <c r="K66" s="576"/>
      <c r="L66" s="557"/>
      <c r="M66" s="522"/>
      <c r="N66" s="557"/>
    </row>
    <row r="67" spans="1:14" s="514" customFormat="1" ht="18.75" customHeight="1">
      <c r="A67" s="558" t="s">
        <v>295</v>
      </c>
      <c r="B67" s="707" t="s">
        <v>298</v>
      </c>
      <c r="C67" s="708"/>
      <c r="D67" s="709"/>
      <c r="E67" s="726" t="s">
        <v>741</v>
      </c>
      <c r="F67" s="726"/>
      <c r="G67" s="702" t="s">
        <v>292</v>
      </c>
      <c r="H67" s="703"/>
      <c r="I67" s="726" t="s">
        <v>740</v>
      </c>
      <c r="J67" s="726"/>
      <c r="K67" s="702" t="s">
        <v>293</v>
      </c>
      <c r="L67" s="703"/>
      <c r="M67" s="726" t="s">
        <v>322</v>
      </c>
      <c r="N67" s="703"/>
    </row>
    <row r="68" spans="1:14" s="514" customFormat="1" ht="12.75" customHeight="1">
      <c r="A68" s="558" t="s">
        <v>296</v>
      </c>
      <c r="B68" s="580" t="s">
        <v>13</v>
      </c>
      <c r="C68" s="511" t="s">
        <v>83</v>
      </c>
      <c r="D68" s="588"/>
      <c r="E68" s="260" t="s">
        <v>81</v>
      </c>
      <c r="F68" s="260" t="s">
        <v>82</v>
      </c>
      <c r="G68" s="572" t="s">
        <v>81</v>
      </c>
      <c r="H68" s="256" t="s">
        <v>82</v>
      </c>
      <c r="I68" s="260" t="s">
        <v>81</v>
      </c>
      <c r="J68" s="260" t="s">
        <v>82</v>
      </c>
      <c r="K68" s="572" t="s">
        <v>81</v>
      </c>
      <c r="L68" s="256" t="s">
        <v>82</v>
      </c>
      <c r="M68" s="260" t="s">
        <v>81</v>
      </c>
      <c r="N68" s="256" t="s">
        <v>82</v>
      </c>
    </row>
    <row r="69" spans="1:14" s="514" customFormat="1" ht="13.5" customHeight="1">
      <c r="A69" s="559"/>
      <c r="B69" s="581" t="s">
        <v>14</v>
      </c>
      <c r="C69" s="511" t="s">
        <v>379</v>
      </c>
      <c r="D69" s="588" t="s">
        <v>84</v>
      </c>
      <c r="E69" s="260" t="s">
        <v>85</v>
      </c>
      <c r="F69" s="260" t="s">
        <v>297</v>
      </c>
      <c r="G69" s="572" t="s">
        <v>85</v>
      </c>
      <c r="H69" s="256" t="s">
        <v>297</v>
      </c>
      <c r="I69" s="260" t="s">
        <v>85</v>
      </c>
      <c r="J69" s="260" t="s">
        <v>297</v>
      </c>
      <c r="K69" s="572" t="s">
        <v>85</v>
      </c>
      <c r="L69" s="256" t="s">
        <v>297</v>
      </c>
      <c r="M69" s="260" t="s">
        <v>85</v>
      </c>
      <c r="N69" s="256" t="s">
        <v>297</v>
      </c>
    </row>
    <row r="70" spans="1:14" s="527" customFormat="1" ht="15">
      <c r="A70" s="553"/>
      <c r="B70" s="585" t="s">
        <v>582</v>
      </c>
      <c r="C70" s="523"/>
      <c r="D70" s="593"/>
      <c r="E70" s="504"/>
      <c r="F70" s="504"/>
      <c r="G70" s="569"/>
      <c r="H70" s="505"/>
      <c r="I70" s="504"/>
      <c r="J70" s="504"/>
      <c r="K70" s="569"/>
      <c r="L70" s="505"/>
      <c r="M70" s="504"/>
      <c r="N70" s="505"/>
    </row>
    <row r="71" spans="1:14" s="514" customFormat="1">
      <c r="A71" s="561">
        <v>7891721023422</v>
      </c>
      <c r="B71" s="583">
        <v>1008903580056</v>
      </c>
      <c r="C71" s="139">
        <v>3018884901</v>
      </c>
      <c r="D71" s="596" t="s">
        <v>584</v>
      </c>
      <c r="E71" s="507">
        <f>ROUND(G71*1.028952,2)</f>
        <v>24.02</v>
      </c>
      <c r="F71" s="507">
        <f>ROUND(E71/0.751296,2)</f>
        <v>31.97</v>
      </c>
      <c r="G71" s="573">
        <v>23.34</v>
      </c>
      <c r="H71" s="560">
        <f>ROUND(G71/0.750577,2)</f>
        <v>31.1</v>
      </c>
      <c r="I71" s="507">
        <f>ROUND(G71*0.993015,2)</f>
        <v>23.18</v>
      </c>
      <c r="J71" s="507">
        <f>ROUND(I71/0.750402,2)</f>
        <v>30.89</v>
      </c>
      <c r="K71" s="573">
        <f>ROUND(G71*0.986128,2)</f>
        <v>23.02</v>
      </c>
      <c r="L71" s="560">
        <f>ROUND(K71/0.75023,2)</f>
        <v>30.68</v>
      </c>
      <c r="M71" s="507">
        <f>ROUND(G71*0.922175,2)</f>
        <v>21.52</v>
      </c>
      <c r="N71" s="560">
        <f t="shared" ref="N71:N72" si="26">ROUND(M71/0.748624,2)</f>
        <v>28.75</v>
      </c>
    </row>
    <row r="72" spans="1:14" s="514" customFormat="1" ht="17.25" customHeight="1">
      <c r="A72" s="561">
        <v>7891721022845</v>
      </c>
      <c r="B72" s="583">
        <v>1008903580013</v>
      </c>
      <c r="C72" s="139">
        <v>3018884902</v>
      </c>
      <c r="D72" s="596" t="s">
        <v>583</v>
      </c>
      <c r="E72" s="506">
        <f>ROUND(G72*1.028952,2)</f>
        <v>39.86</v>
      </c>
      <c r="F72" s="506">
        <f>ROUND(E72/0.751296,2)</f>
        <v>53.05</v>
      </c>
      <c r="G72" s="573">
        <v>38.74</v>
      </c>
      <c r="H72" s="562">
        <f>ROUND(G72/0.750577,2)</f>
        <v>51.61</v>
      </c>
      <c r="I72" s="506">
        <f>ROUND(G72*0.993015,2)</f>
        <v>38.47</v>
      </c>
      <c r="J72" s="506">
        <f>ROUND(I72/0.750402,2)</f>
        <v>51.27</v>
      </c>
      <c r="K72" s="578">
        <f>ROUND(G72*0.986128,2)</f>
        <v>38.200000000000003</v>
      </c>
      <c r="L72" s="562">
        <f>ROUND(K72/0.75023,2)</f>
        <v>50.92</v>
      </c>
      <c r="M72" s="506">
        <f>ROUND(G72*0.922175,2)</f>
        <v>35.729999999999997</v>
      </c>
      <c r="N72" s="562">
        <f t="shared" si="26"/>
        <v>47.73</v>
      </c>
    </row>
    <row r="73" spans="1:14" s="514" customFormat="1">
      <c r="A73" s="556"/>
      <c r="B73" s="584"/>
      <c r="C73" s="519"/>
      <c r="D73" s="592"/>
      <c r="E73" s="520"/>
      <c r="F73" s="521"/>
      <c r="G73" s="571"/>
      <c r="H73" s="557"/>
      <c r="I73" s="522"/>
      <c r="J73" s="521"/>
      <c r="K73" s="576"/>
      <c r="L73" s="557"/>
      <c r="M73" s="522"/>
      <c r="N73" s="557"/>
    </row>
    <row r="74" spans="1:14" s="514" customFormat="1" ht="18.75" customHeight="1">
      <c r="A74" s="558" t="s">
        <v>295</v>
      </c>
      <c r="B74" s="707" t="s">
        <v>609</v>
      </c>
      <c r="C74" s="708"/>
      <c r="D74" s="709"/>
      <c r="E74" s="726" t="s">
        <v>741</v>
      </c>
      <c r="F74" s="726"/>
      <c r="G74" s="702" t="s">
        <v>292</v>
      </c>
      <c r="H74" s="703"/>
      <c r="I74" s="726" t="s">
        <v>740</v>
      </c>
      <c r="J74" s="726"/>
      <c r="K74" s="702" t="s">
        <v>293</v>
      </c>
      <c r="L74" s="703"/>
      <c r="M74" s="726" t="s">
        <v>322</v>
      </c>
      <c r="N74" s="703"/>
    </row>
    <row r="75" spans="1:14" s="514" customFormat="1" ht="12.75" customHeight="1">
      <c r="A75" s="563" t="s">
        <v>296</v>
      </c>
      <c r="B75" s="580" t="s">
        <v>13</v>
      </c>
      <c r="C75" s="511" t="s">
        <v>83</v>
      </c>
      <c r="D75" s="597"/>
      <c r="E75" s="322" t="s">
        <v>81</v>
      </c>
      <c r="F75" s="322" t="s">
        <v>82</v>
      </c>
      <c r="G75" s="574" t="s">
        <v>81</v>
      </c>
      <c r="H75" s="250" t="s">
        <v>82</v>
      </c>
      <c r="I75" s="322" t="s">
        <v>81</v>
      </c>
      <c r="J75" s="322" t="s">
        <v>82</v>
      </c>
      <c r="K75" s="574" t="s">
        <v>81</v>
      </c>
      <c r="L75" s="250" t="s">
        <v>82</v>
      </c>
      <c r="M75" s="322" t="s">
        <v>81</v>
      </c>
      <c r="N75" s="250" t="s">
        <v>82</v>
      </c>
    </row>
    <row r="76" spans="1:14" s="514" customFormat="1" ht="13.5" customHeight="1">
      <c r="A76" s="564"/>
      <c r="B76" s="581" t="s">
        <v>14</v>
      </c>
      <c r="C76" s="511" t="s">
        <v>379</v>
      </c>
      <c r="D76" s="597" t="s">
        <v>84</v>
      </c>
      <c r="E76" s="322" t="s">
        <v>85</v>
      </c>
      <c r="F76" s="322" t="s">
        <v>297</v>
      </c>
      <c r="G76" s="574" t="s">
        <v>85</v>
      </c>
      <c r="H76" s="250" t="s">
        <v>297</v>
      </c>
      <c r="I76" s="322" t="s">
        <v>85</v>
      </c>
      <c r="J76" s="322" t="s">
        <v>297</v>
      </c>
      <c r="K76" s="574" t="s">
        <v>85</v>
      </c>
      <c r="L76" s="250" t="s">
        <v>297</v>
      </c>
      <c r="M76" s="322" t="s">
        <v>85</v>
      </c>
      <c r="N76" s="250" t="s">
        <v>297</v>
      </c>
    </row>
    <row r="77" spans="1:14" s="528" customFormat="1" ht="15">
      <c r="A77" s="553"/>
      <c r="B77" s="585" t="s">
        <v>705</v>
      </c>
      <c r="C77" s="523"/>
      <c r="D77" s="585"/>
      <c r="E77" s="504"/>
      <c r="F77" s="504"/>
      <c r="G77" s="569"/>
      <c r="H77" s="505"/>
      <c r="I77" s="504"/>
      <c r="J77" s="504"/>
      <c r="K77" s="569"/>
      <c r="L77" s="505"/>
      <c r="M77" s="504"/>
      <c r="N77" s="505"/>
    </row>
    <row r="78" spans="1:14" s="528" customFormat="1">
      <c r="A78" s="565">
        <v>7891721029370</v>
      </c>
      <c r="B78" s="583">
        <v>4107703050015</v>
      </c>
      <c r="C78" s="139">
        <v>3080804902</v>
      </c>
      <c r="D78" s="596" t="s">
        <v>776</v>
      </c>
      <c r="E78" s="507">
        <f>ROUND(G78*1.027916,2)</f>
        <v>81.09</v>
      </c>
      <c r="F78" s="507" t="s">
        <v>563</v>
      </c>
      <c r="G78" s="573">
        <v>78.88337139368852</v>
      </c>
      <c r="H78" s="560" t="s">
        <v>563</v>
      </c>
      <c r="I78" s="507">
        <f>ROUND(G78*0.993257,2)</f>
        <v>78.349999999999994</v>
      </c>
      <c r="J78" s="507" t="s">
        <v>563</v>
      </c>
      <c r="K78" s="573">
        <f>ROUND(G78*0.986604,2)</f>
        <v>77.83</v>
      </c>
      <c r="L78" s="560" t="s">
        <v>563</v>
      </c>
      <c r="M78" s="507">
        <f>ROUND(G78*0.9246745,2)</f>
        <v>72.94</v>
      </c>
      <c r="N78" s="560" t="s">
        <v>563</v>
      </c>
    </row>
    <row r="79" spans="1:14" s="514" customFormat="1" ht="13.5" thickBot="1">
      <c r="A79" s="566">
        <v>7891721028694</v>
      </c>
      <c r="B79" s="587">
        <v>4107703050015</v>
      </c>
      <c r="C79" s="381">
        <v>3080804901</v>
      </c>
      <c r="D79" s="598" t="s">
        <v>706</v>
      </c>
      <c r="E79" s="508">
        <f>ROUND(G79*1.027916,2)</f>
        <v>44.51</v>
      </c>
      <c r="F79" s="508" t="s">
        <v>563</v>
      </c>
      <c r="G79" s="575">
        <v>43.296809292179901</v>
      </c>
      <c r="H79" s="567" t="s">
        <v>563</v>
      </c>
      <c r="I79" s="508">
        <f>ROUND(G79*0.993257,2)</f>
        <v>43</v>
      </c>
      <c r="J79" s="508" t="s">
        <v>563</v>
      </c>
      <c r="K79" s="579">
        <f>ROUND(G79*0.986604,2)</f>
        <v>42.72</v>
      </c>
      <c r="L79" s="567" t="s">
        <v>563</v>
      </c>
      <c r="M79" s="508">
        <f>ROUND(G79*0.9246745,2)</f>
        <v>40.04</v>
      </c>
      <c r="N79" s="567" t="s">
        <v>563</v>
      </c>
    </row>
    <row r="81" spans="1:28" s="89" customFormat="1">
      <c r="A81" s="234"/>
      <c r="B81" s="372" t="s">
        <v>743</v>
      </c>
      <c r="C81" s="136"/>
      <c r="D81" s="92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</row>
    <row r="82" spans="1:28" s="89" customFormat="1">
      <c r="A82" s="234"/>
      <c r="B82" s="372" t="s">
        <v>744</v>
      </c>
      <c r="C82" s="136"/>
      <c r="D82" s="92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</row>
    <row r="83" spans="1:28" s="89" customFormat="1">
      <c r="A83" s="234"/>
      <c r="B83" s="372" t="s">
        <v>778</v>
      </c>
      <c r="C83" s="136"/>
      <c r="D83" s="92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</row>
    <row r="84" spans="1:28" s="89" customFormat="1">
      <c r="A84" s="234"/>
      <c r="B84" s="136"/>
      <c r="C84" s="136"/>
      <c r="D84" s="92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</row>
    <row r="85" spans="1:28" s="89" customFormat="1">
      <c r="A85" s="228"/>
      <c r="B85" s="337" t="s">
        <v>711</v>
      </c>
      <c r="C85" s="99"/>
      <c r="E85" s="127"/>
      <c r="F85" s="127"/>
      <c r="G85" s="127"/>
      <c r="H85" s="127"/>
      <c r="I85" s="127"/>
      <c r="J85" s="127"/>
      <c r="K85" s="127"/>
      <c r="L85" s="127"/>
      <c r="M85" s="127"/>
      <c r="N85" s="96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</row>
    <row r="86" spans="1:28" s="89" customFormat="1">
      <c r="A86" s="228"/>
      <c r="B86" s="99"/>
      <c r="C86" s="99"/>
      <c r="E86" s="144"/>
      <c r="F86" s="144"/>
      <c r="G86" s="143"/>
      <c r="H86" s="145"/>
      <c r="I86" s="146"/>
      <c r="J86" s="96"/>
      <c r="K86" s="146"/>
      <c r="L86" s="96"/>
      <c r="M86" s="146"/>
      <c r="N86" s="96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</row>
    <row r="87" spans="1:28" s="89" customFormat="1">
      <c r="A87" s="228"/>
      <c r="B87" s="225" t="s">
        <v>642</v>
      </c>
      <c r="C87" s="99"/>
      <c r="E87" s="98"/>
      <c r="F87" s="98"/>
      <c r="H87" s="95"/>
      <c r="J87" s="96"/>
      <c r="L87" s="96"/>
      <c r="N87" s="96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</row>
    <row r="88" spans="1:28" s="89" customFormat="1">
      <c r="A88" s="228"/>
      <c r="B88" s="138" t="s">
        <v>739</v>
      </c>
      <c r="C88" s="90"/>
      <c r="E88" s="98"/>
      <c r="F88" s="98"/>
      <c r="H88" s="95"/>
      <c r="J88" s="96"/>
      <c r="L88" s="96"/>
      <c r="N88" s="96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</row>
    <row r="89" spans="1:28" s="89" customFormat="1">
      <c r="A89" s="228"/>
      <c r="B89" s="138"/>
      <c r="C89" s="103"/>
      <c r="D89" s="102"/>
      <c r="E89" s="98"/>
      <c r="F89" s="98"/>
      <c r="H89" s="95"/>
      <c r="J89" s="96"/>
      <c r="L89" s="96"/>
      <c r="N89" s="96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</row>
    <row r="90" spans="1:28" s="89" customFormat="1">
      <c r="A90" s="228"/>
      <c r="B90" s="138" t="s">
        <v>707</v>
      </c>
      <c r="C90" s="336"/>
      <c r="D90" s="336"/>
      <c r="E90"/>
      <c r="F90" s="138"/>
      <c r="H90" s="95"/>
      <c r="J90" s="96"/>
      <c r="L90" s="96"/>
      <c r="N90" s="96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</row>
    <row r="91" spans="1:28" s="89" customFormat="1">
      <c r="A91" s="228"/>
      <c r="B91" s="138" t="s">
        <v>708</v>
      </c>
      <c r="C91" s="336"/>
      <c r="D91" s="336"/>
      <c r="E91"/>
      <c r="F91" s="138"/>
      <c r="H91" s="95"/>
      <c r="J91" s="96"/>
      <c r="L91" s="96"/>
      <c r="N91" s="96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</row>
    <row r="92" spans="1:28" s="89" customFormat="1">
      <c r="A92" s="228"/>
      <c r="B92" s="138" t="s">
        <v>742</v>
      </c>
      <c r="C92" s="336"/>
      <c r="D92" s="336"/>
      <c r="E92"/>
      <c r="F92" s="138"/>
      <c r="H92" s="95"/>
      <c r="J92" s="96"/>
      <c r="L92" s="96"/>
      <c r="N92" s="96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</row>
    <row r="93" spans="1:28" s="89" customFormat="1">
      <c r="A93" s="228"/>
      <c r="B93" s="138" t="s">
        <v>709</v>
      </c>
      <c r="C93" s="336"/>
      <c r="D93" s="336"/>
      <c r="E93"/>
      <c r="F93" s="138"/>
      <c r="H93" s="95"/>
      <c r="J93" s="96"/>
      <c r="L93" s="96"/>
      <c r="N93" s="96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</row>
    <row r="94" spans="1:28" s="89" customFormat="1">
      <c r="A94" s="228"/>
      <c r="B94" s="138"/>
      <c r="C94" s="336"/>
      <c r="D94" s="336"/>
      <c r="E94"/>
      <c r="F94" s="138"/>
      <c r="H94" s="95"/>
      <c r="J94" s="96"/>
      <c r="L94" s="96"/>
      <c r="N94" s="96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</row>
    <row r="95" spans="1:28" s="89" customFormat="1">
      <c r="A95" s="228"/>
      <c r="B95" s="225" t="s">
        <v>581</v>
      </c>
      <c r="C95" s="103"/>
      <c r="D95" s="102"/>
      <c r="E95" s="98"/>
      <c r="F95" s="98"/>
      <c r="H95" s="95"/>
      <c r="J95" s="96"/>
      <c r="L95" s="96"/>
      <c r="N95" s="96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</row>
    <row r="96" spans="1:28" s="89" customFormat="1">
      <c r="A96" s="228"/>
      <c r="B96" s="225"/>
      <c r="C96" s="103"/>
      <c r="D96" s="102"/>
      <c r="E96" s="98"/>
      <c r="F96" s="98"/>
      <c r="H96" s="95"/>
      <c r="J96" s="96"/>
      <c r="L96" s="96"/>
      <c r="N96" s="96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</row>
    <row r="97" spans="1:28" s="89" customFormat="1">
      <c r="A97" s="228"/>
      <c r="B97" s="365" t="s">
        <v>782</v>
      </c>
      <c r="C97" s="366"/>
      <c r="D97" s="367"/>
      <c r="E97" s="368"/>
      <c r="F97" s="368"/>
      <c r="G97" s="369"/>
      <c r="H97" s="370"/>
      <c r="I97" s="369"/>
      <c r="J97" s="371"/>
      <c r="K97" s="369"/>
      <c r="L97" s="371"/>
      <c r="N97" s="96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</row>
    <row r="98" spans="1:28" s="89" customFormat="1">
      <c r="A98" s="228"/>
      <c r="B98" s="103"/>
      <c r="C98" s="97"/>
      <c r="D98" s="88"/>
      <c r="E98" s="98"/>
      <c r="F98" s="98"/>
      <c r="H98" s="95"/>
      <c r="J98" s="96"/>
      <c r="L98" s="96"/>
      <c r="N98" s="96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</row>
    <row r="99" spans="1:28" s="89" customFormat="1">
      <c r="A99" s="228"/>
      <c r="B99" s="100" t="s">
        <v>777</v>
      </c>
      <c r="C99" s="97"/>
      <c r="D99" s="88"/>
      <c r="E99" s="98"/>
      <c r="F99" s="98"/>
      <c r="H99" s="95"/>
      <c r="J99" s="96"/>
      <c r="L99" s="96"/>
      <c r="N99" s="96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74"/>
      <c r="Z99" s="374"/>
      <c r="AA99" s="374"/>
      <c r="AB99" s="374"/>
    </row>
  </sheetData>
  <mergeCells count="25">
    <mergeCell ref="G25:H25"/>
    <mergeCell ref="I25:J25"/>
    <mergeCell ref="K25:L25"/>
    <mergeCell ref="M25:N25"/>
    <mergeCell ref="B4:D4"/>
    <mergeCell ref="B25:D25"/>
    <mergeCell ref="E4:F4"/>
    <mergeCell ref="G4:H4"/>
    <mergeCell ref="I4:J4"/>
    <mergeCell ref="A3:N3"/>
    <mergeCell ref="B74:D74"/>
    <mergeCell ref="E74:F74"/>
    <mergeCell ref="G74:H74"/>
    <mergeCell ref="I74:J74"/>
    <mergeCell ref="K74:L74"/>
    <mergeCell ref="M74:N74"/>
    <mergeCell ref="B67:D67"/>
    <mergeCell ref="E67:F67"/>
    <mergeCell ref="G67:H67"/>
    <mergeCell ref="I67:J67"/>
    <mergeCell ref="K67:L67"/>
    <mergeCell ref="M67:N67"/>
    <mergeCell ref="K4:L4"/>
    <mergeCell ref="M4:N4"/>
    <mergeCell ref="E25:F25"/>
  </mergeCells>
  <dataValidations count="1">
    <dataValidation type="textLength" operator="greaterThanOrEqual" allowBlank="1" showErrorMessage="1" promptTitle="Produto" prompt="Informar o nome do produto" sqref="A17:A23 A72 A8:A12 A14:A15 A79 A29:A30 A50:A54 A32:A37 A62:A65 A57:A60 A39:A48 A81:A84">
      <formula1>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1"/>
  <sheetViews>
    <sheetView topLeftCell="A97" zoomScale="75" workbookViewId="0">
      <selection activeCell="C121" sqref="C121:D122"/>
    </sheetView>
  </sheetViews>
  <sheetFormatPr defaultColWidth="11.42578125" defaultRowHeight="12.75"/>
  <cols>
    <col min="1" max="1" width="6.28515625" style="78" customWidth="1"/>
    <col min="2" max="2" width="41.85546875" style="2" customWidth="1"/>
    <col min="3" max="4" width="10.42578125" style="79" customWidth="1"/>
    <col min="5" max="5" width="2.5703125" customWidth="1"/>
    <col min="6" max="6" width="6.28515625" style="80" customWidth="1"/>
    <col min="7" max="7" width="37.7109375" customWidth="1"/>
    <col min="8" max="8" width="10.42578125" style="81" customWidth="1"/>
    <col min="9" max="9" width="11" style="81" customWidth="1"/>
  </cols>
  <sheetData>
    <row r="1" spans="1:12" ht="26.25">
      <c r="A1" s="1"/>
      <c r="C1" s="3" t="str">
        <f>IF($L$1&lt;&gt;3,"LISTA DE PREÇOS EM REAIS","PREÇOS  A  FUNCIONÁRIOS")</f>
        <v>LISTA DE PREÇOS EM REAIS</v>
      </c>
      <c r="D1" s="4" t="s">
        <v>272</v>
      </c>
      <c r="E1" s="5"/>
      <c r="F1" s="3"/>
      <c r="G1" s="6"/>
      <c r="H1" s="7"/>
      <c r="I1" s="8" t="s">
        <v>79</v>
      </c>
      <c r="J1" t="s">
        <v>80</v>
      </c>
      <c r="L1" s="9">
        <v>4</v>
      </c>
    </row>
    <row r="2" spans="1:12" ht="21.75" customHeight="1">
      <c r="A2" s="10"/>
      <c r="B2" s="11"/>
      <c r="C2" s="12"/>
      <c r="D2" s="12"/>
      <c r="F2" s="14"/>
      <c r="G2" s="11"/>
      <c r="H2" s="15"/>
      <c r="I2" s="16"/>
    </row>
    <row r="3" spans="1:12" s="23" customFormat="1">
      <c r="A3" s="17"/>
      <c r="B3" s="18"/>
      <c r="C3" s="19" t="s">
        <v>81</v>
      </c>
      <c r="D3" s="19" t="s">
        <v>82</v>
      </c>
      <c r="E3" s="20"/>
      <c r="F3" s="21"/>
      <c r="G3" s="52"/>
      <c r="H3" s="22" t="s">
        <v>81</v>
      </c>
      <c r="I3" s="22" t="s">
        <v>82</v>
      </c>
    </row>
    <row r="4" spans="1:12" s="23" customFormat="1">
      <c r="A4" s="24" t="s">
        <v>83</v>
      </c>
      <c r="B4" s="25" t="s">
        <v>84</v>
      </c>
      <c r="C4" s="26" t="s">
        <v>85</v>
      </c>
      <c r="D4" s="26" t="str">
        <f>IF($L$1&lt;&gt;3,"MÁXIMO","FUNCIONÁRIO")</f>
        <v>MÁXIMO</v>
      </c>
      <c r="E4" s="20"/>
      <c r="F4" s="27" t="s">
        <v>83</v>
      </c>
      <c r="G4" s="82" t="s">
        <v>84</v>
      </c>
      <c r="H4" s="22" t="s">
        <v>85</v>
      </c>
      <c r="I4" s="22" t="str">
        <f>IF($L$1&lt;&gt;3,"MÁXIMO","FUNCIONÁRIO")</f>
        <v>MÁXIMO</v>
      </c>
    </row>
    <row r="5" spans="1:12" s="23" customFormat="1" ht="15">
      <c r="A5" s="28" t="s">
        <v>86</v>
      </c>
      <c r="B5" s="29"/>
      <c r="C5" s="30"/>
      <c r="D5" s="30"/>
      <c r="E5" s="20"/>
      <c r="F5" s="28" t="s">
        <v>87</v>
      </c>
      <c r="G5" s="29"/>
      <c r="H5" s="30"/>
      <c r="I5" s="30"/>
    </row>
    <row r="6" spans="1:12" s="23" customFormat="1" ht="15" customHeight="1">
      <c r="A6" s="31">
        <v>101</v>
      </c>
      <c r="B6" s="32" t="s">
        <v>88</v>
      </c>
      <c r="C6" s="33">
        <v>17.29</v>
      </c>
      <c r="D6" s="34">
        <f>IF($L$1&lt;&gt;3,TRUNC(C6/0.7,2),TRUNC(C6*0.8,2))-0.53</f>
        <v>24.169999999999998</v>
      </c>
      <c r="E6" s="20" t="s">
        <v>80</v>
      </c>
      <c r="F6" s="31">
        <v>2817</v>
      </c>
      <c r="G6" s="32" t="s">
        <v>89</v>
      </c>
      <c r="H6" s="33">
        <v>7.57</v>
      </c>
      <c r="I6" s="34">
        <f>IF($L$1&lt;&gt;3,TRUNC(H6/0.7,2),TRUNC(H6*0.8,2))-0.63</f>
        <v>10.18</v>
      </c>
      <c r="J6" s="23" t="s">
        <v>80</v>
      </c>
    </row>
    <row r="7" spans="1:12" s="23" customFormat="1">
      <c r="A7" s="31">
        <v>153</v>
      </c>
      <c r="B7" s="32" t="s">
        <v>90</v>
      </c>
      <c r="C7" s="33">
        <v>8.57</v>
      </c>
      <c r="D7" s="34">
        <f>IF($L$1&lt;&gt;3,TRUNC(C7/0.7,2),TRUNC(C7*0.8,2))-0.25</f>
        <v>11.99</v>
      </c>
      <c r="E7" s="20"/>
      <c r="F7" s="31">
        <v>2821</v>
      </c>
      <c r="G7" s="32" t="s">
        <v>91</v>
      </c>
      <c r="H7" s="33">
        <v>15.46</v>
      </c>
      <c r="I7" s="34">
        <f>IF($L$1&lt;&gt;3,TRUNC(H7/0.7,2),TRUNC(H7*0.8,2))-1.3</f>
        <v>20.779999999999998</v>
      </c>
    </row>
    <row r="8" spans="1:12" s="23" customFormat="1" ht="15">
      <c r="A8" s="28" t="s">
        <v>92</v>
      </c>
      <c r="B8" s="29"/>
      <c r="C8" s="30"/>
      <c r="D8" s="30"/>
      <c r="E8" s="20"/>
      <c r="F8" s="28" t="s">
        <v>93</v>
      </c>
      <c r="G8" s="29"/>
      <c r="H8" s="30"/>
      <c r="I8" s="30"/>
    </row>
    <row r="9" spans="1:12" s="23" customFormat="1">
      <c r="A9" s="31">
        <v>3551</v>
      </c>
      <c r="B9" s="32" t="s">
        <v>94</v>
      </c>
      <c r="C9" s="33">
        <v>3.41</v>
      </c>
      <c r="D9" s="34">
        <f>IF($L$1&lt;&gt;3,TRUNC(C9/0.7,2),TRUNC(C9*0.8,2))-0.1</f>
        <v>4.7700000000000005</v>
      </c>
      <c r="E9" s="20"/>
      <c r="F9" s="31">
        <v>1210</v>
      </c>
      <c r="G9" s="32" t="s">
        <v>95</v>
      </c>
      <c r="H9" s="33">
        <v>19.02</v>
      </c>
      <c r="I9" s="34">
        <f>IF($L$1&lt;&gt;3,TRUNC(H9/0.7,2),TRUNC(H9*0.8,2))-0.58</f>
        <v>26.590000000000003</v>
      </c>
    </row>
    <row r="10" spans="1:12" s="23" customFormat="1">
      <c r="A10" s="31">
        <v>3564</v>
      </c>
      <c r="B10" s="32" t="s">
        <v>96</v>
      </c>
      <c r="C10" s="33">
        <v>34.04</v>
      </c>
      <c r="D10" s="34">
        <f>IF($L$1&lt;&gt;3,TRUNC(C10/0.7,2),TRUNC(C10*0.8,2))-1.04</f>
        <v>47.58</v>
      </c>
      <c r="E10" s="20"/>
      <c r="F10" s="31">
        <v>1211</v>
      </c>
      <c r="G10" s="32" t="s">
        <v>97</v>
      </c>
      <c r="H10" s="33">
        <v>7.71</v>
      </c>
      <c r="I10" s="34">
        <f>IF($L$1&lt;&gt;3,TRUNC(H10/0.7,2),TRUNC(H10*0.8,2))-0.24</f>
        <v>10.77</v>
      </c>
    </row>
    <row r="11" spans="1:12" s="23" customFormat="1">
      <c r="A11" s="31">
        <v>3508</v>
      </c>
      <c r="B11" s="32" t="s">
        <v>98</v>
      </c>
      <c r="C11" s="33">
        <v>6.28</v>
      </c>
      <c r="D11" s="34">
        <f>IF($L$1&lt;&gt;3,TRUNC(C11/0.7,2),TRUNC(C11*0.8,2))-0.18</f>
        <v>8.7900000000000009</v>
      </c>
      <c r="E11" s="20"/>
      <c r="F11" s="31">
        <v>1212</v>
      </c>
      <c r="G11" s="32" t="s">
        <v>99</v>
      </c>
      <c r="H11" s="33">
        <v>9.64</v>
      </c>
      <c r="I11" s="34">
        <f>IF($L$1&lt;&gt;3,TRUNC(H11/0.7,2),TRUNC(H11*0.8,2))-0.29</f>
        <v>13.48</v>
      </c>
    </row>
    <row r="12" spans="1:12" s="23" customFormat="1" ht="15">
      <c r="A12" s="31">
        <v>3536</v>
      </c>
      <c r="B12" s="32" t="s">
        <v>100</v>
      </c>
      <c r="C12" s="33">
        <v>2.9</v>
      </c>
      <c r="D12" s="34">
        <f>IF($L$1&lt;&gt;3,TRUNC(C12/0.7,2),TRUNC(C12*0.8,2))-0.08</f>
        <v>4.0599999999999996</v>
      </c>
      <c r="E12" s="20"/>
      <c r="F12" s="28" t="s">
        <v>101</v>
      </c>
      <c r="G12" s="29"/>
      <c r="H12" s="30"/>
      <c r="I12" s="30"/>
    </row>
    <row r="13" spans="1:12" s="23" customFormat="1" ht="15">
      <c r="A13" s="28" t="s">
        <v>102</v>
      </c>
      <c r="B13" s="29"/>
      <c r="C13" s="30"/>
      <c r="D13" s="30"/>
      <c r="E13" s="20"/>
      <c r="F13" s="31">
        <v>2900</v>
      </c>
      <c r="G13" s="32" t="s">
        <v>103</v>
      </c>
      <c r="H13" s="33">
        <v>8.0399999999999991</v>
      </c>
      <c r="I13" s="34">
        <f>IF($L$1&lt;&gt;3,TRUNC(H13/0.7,2),TRUNC(H13*0.8,2))-0.25</f>
        <v>11.23</v>
      </c>
    </row>
    <row r="14" spans="1:12" s="23" customFormat="1">
      <c r="A14" s="31">
        <v>261</v>
      </c>
      <c r="B14" s="32" t="s">
        <v>104</v>
      </c>
      <c r="C14" s="33">
        <v>12.43</v>
      </c>
      <c r="D14" s="34">
        <f>IF($L$1&lt;&gt;3,TRUNC(C14/0.7,2),TRUNC(C14*0.8,2))-0.37</f>
        <v>17.38</v>
      </c>
      <c r="E14" s="20"/>
      <c r="F14" s="31">
        <v>2901</v>
      </c>
      <c r="G14" s="32" t="s">
        <v>105</v>
      </c>
      <c r="H14" s="33">
        <v>9.18</v>
      </c>
      <c r="I14" s="34">
        <f>IF($L$1&lt;&gt;3,TRUNC(H14/0.7,2),TRUNC(H14*0.8,2))-0.27</f>
        <v>12.84</v>
      </c>
    </row>
    <row r="15" spans="1:12" s="23" customFormat="1">
      <c r="A15" s="31">
        <v>272</v>
      </c>
      <c r="B15" s="32" t="s">
        <v>106</v>
      </c>
      <c r="C15" s="33">
        <v>13.03</v>
      </c>
      <c r="D15" s="34">
        <f>IF($L$1&lt;&gt;3,TRUNC(C15/0.7,2),TRUNC(C15*0.8,2))-0.4</f>
        <v>18.21</v>
      </c>
      <c r="E15" s="20"/>
      <c r="F15" s="31">
        <v>2902</v>
      </c>
      <c r="G15" s="32" t="s">
        <v>107</v>
      </c>
      <c r="H15" s="33">
        <v>10.14</v>
      </c>
      <c r="I15" s="34">
        <f>IF($L$1&lt;&gt;3,TRUNC(H15/0.7,2),TRUNC(H15*0.8,2))-0.31</f>
        <v>14.17</v>
      </c>
    </row>
    <row r="16" spans="1:12" s="23" customFormat="1" ht="15">
      <c r="A16" s="28" t="s">
        <v>108</v>
      </c>
      <c r="B16" s="29"/>
      <c r="C16" s="30"/>
      <c r="D16" s="30"/>
      <c r="E16" s="20"/>
      <c r="F16" s="31">
        <v>2903</v>
      </c>
      <c r="G16" s="32" t="s">
        <v>109</v>
      </c>
      <c r="H16" s="33">
        <v>10.47</v>
      </c>
      <c r="I16" s="34">
        <f>IF($L$1&lt;&gt;3,TRUNC(H16/0.7,2),TRUNC(H16*0.8,2))-0.31</f>
        <v>14.639999999999999</v>
      </c>
    </row>
    <row r="17" spans="1:9" s="23" customFormat="1">
      <c r="A17" s="31">
        <v>664</v>
      </c>
      <c r="B17" s="32" t="s">
        <v>110</v>
      </c>
      <c r="C17" s="33">
        <v>16.98</v>
      </c>
      <c r="D17" s="34">
        <f>IF($L$1&lt;&gt;3,TRUNC(C17/0.7,2),TRUNC(C17*0.8,2))-1.43</f>
        <v>22.82</v>
      </c>
      <c r="E17" s="20"/>
      <c r="F17" s="31">
        <v>2905</v>
      </c>
      <c r="G17" s="32" t="s">
        <v>111</v>
      </c>
      <c r="H17" s="33">
        <v>11.7</v>
      </c>
      <c r="I17" s="34">
        <f>IF($L$1&lt;&gt;3,TRUNC(H17/0.7,2),TRUNC(H17*0.8,2))-0.35</f>
        <v>16.36</v>
      </c>
    </row>
    <row r="18" spans="1:9" s="23" customFormat="1">
      <c r="A18" s="31">
        <v>651</v>
      </c>
      <c r="B18" s="32" t="s">
        <v>112</v>
      </c>
      <c r="C18" s="33">
        <v>12.6</v>
      </c>
      <c r="D18" s="34">
        <f>IF($L$1&lt;&gt;3,TRUNC(C18/0.7,2),TRUNC(C18*0.8,2))-1.07</f>
        <v>16.93</v>
      </c>
      <c r="E18" s="20"/>
      <c r="F18" s="31">
        <v>2904</v>
      </c>
      <c r="G18" s="32" t="s">
        <v>113</v>
      </c>
      <c r="H18" s="33">
        <v>12.55</v>
      </c>
      <c r="I18" s="34">
        <f>IF($L$1&lt;&gt;3,TRUNC(H18/0.7,2),TRUNC(H18*0.8,2))-0.38</f>
        <v>17.540000000000003</v>
      </c>
    </row>
    <row r="19" spans="1:9" s="23" customFormat="1" ht="15">
      <c r="A19" s="31">
        <v>649</v>
      </c>
      <c r="B19" s="32" t="s">
        <v>114</v>
      </c>
      <c r="C19" s="33">
        <v>26.51</v>
      </c>
      <c r="D19" s="34">
        <f>IF($L$1&lt;&gt;3,TRUNC(C19/0.7,2),TRUNC(C19*0.8,2))-2.24</f>
        <v>35.629999999999995</v>
      </c>
      <c r="E19" s="20"/>
      <c r="F19" s="28" t="s">
        <v>115</v>
      </c>
      <c r="G19" s="29"/>
      <c r="H19" s="30"/>
      <c r="I19" s="30"/>
    </row>
    <row r="20" spans="1:9" s="23" customFormat="1" ht="15">
      <c r="A20" s="28" t="s">
        <v>116</v>
      </c>
      <c r="B20" s="29"/>
      <c r="C20" s="30"/>
      <c r="D20" s="30"/>
      <c r="E20" s="20"/>
      <c r="F20" s="31">
        <v>1001</v>
      </c>
      <c r="G20" s="32" t="s">
        <v>117</v>
      </c>
      <c r="H20" s="33">
        <v>30.61</v>
      </c>
      <c r="I20" s="34">
        <f>IF($L$1&lt;&gt;3,TRUNC(H20/0.7,2),TRUNC(H20*0.8,2))-0.94</f>
        <v>42.78</v>
      </c>
    </row>
    <row r="21" spans="1:9" s="23" customFormat="1" ht="15">
      <c r="A21" s="31">
        <v>306</v>
      </c>
      <c r="B21" s="32" t="s">
        <v>118</v>
      </c>
      <c r="C21" s="33">
        <v>21.84</v>
      </c>
      <c r="D21" s="34">
        <f>IF($L$1&lt;&gt;3,TRUNC(C21/0.7,2),TRUNC(C21*0.8,2))-0.67</f>
        <v>30.529999999999998</v>
      </c>
      <c r="E21" s="20"/>
      <c r="F21" s="28" t="s">
        <v>119</v>
      </c>
      <c r="G21" s="29"/>
      <c r="H21" s="30"/>
      <c r="I21" s="30"/>
    </row>
    <row r="22" spans="1:9" s="23" customFormat="1">
      <c r="A22" s="31">
        <v>307</v>
      </c>
      <c r="B22" s="32" t="s">
        <v>120</v>
      </c>
      <c r="C22" s="33">
        <v>28.43</v>
      </c>
      <c r="D22" s="34">
        <f>IF($L$1&lt;&gt;3,TRUNC(C22/0.7,2),TRUNC(C22*0.8,2))-0.87</f>
        <v>39.74</v>
      </c>
      <c r="E22" s="20"/>
      <c r="F22" s="31">
        <v>504</v>
      </c>
      <c r="G22" s="32" t="s">
        <v>121</v>
      </c>
      <c r="H22" s="33">
        <v>38.9</v>
      </c>
      <c r="I22" s="34">
        <f>IF($L$1&lt;&gt;3,TRUNC(H22/0.7,2),TRUNC(H22*0.8,2))-1.19</f>
        <v>54.38</v>
      </c>
    </row>
    <row r="23" spans="1:9" s="23" customFormat="1" ht="15">
      <c r="A23" s="31">
        <v>305</v>
      </c>
      <c r="B23" s="32" t="s">
        <v>122</v>
      </c>
      <c r="C23" s="33">
        <v>31.28</v>
      </c>
      <c r="D23" s="34">
        <f>IF($L$1&lt;&gt;3,TRUNC(C23/0.7,2),TRUNC(C23*0.8,2))-0.96</f>
        <v>43.72</v>
      </c>
      <c r="E23" s="20"/>
      <c r="F23" s="28" t="s">
        <v>123</v>
      </c>
      <c r="G23" s="29"/>
      <c r="H23" s="30"/>
      <c r="I23" s="30"/>
    </row>
    <row r="24" spans="1:9" s="23" customFormat="1" ht="15">
      <c r="A24" s="28" t="s">
        <v>124</v>
      </c>
      <c r="B24" s="29"/>
      <c r="C24" s="30"/>
      <c r="D24" s="30"/>
      <c r="E24" s="20"/>
      <c r="F24" s="31">
        <v>132</v>
      </c>
      <c r="G24" s="32" t="s">
        <v>125</v>
      </c>
      <c r="H24" s="33">
        <v>20.39</v>
      </c>
      <c r="I24" s="35">
        <f>IF($L$1&lt;&gt;3,TRUNC(H24/0.7,2),TRUNC(H24*0.8,2))-0.62</f>
        <v>28.5</v>
      </c>
    </row>
    <row r="25" spans="1:9" s="23" customFormat="1" ht="15">
      <c r="A25" s="31">
        <v>380</v>
      </c>
      <c r="B25" s="32" t="s">
        <v>126</v>
      </c>
      <c r="C25" s="33">
        <v>67.08</v>
      </c>
      <c r="D25" s="34">
        <f>IF($L$1&lt;&gt;3,TRUNC(C25/0.7,2),TRUNC(C25*0.8,2))-2.06</f>
        <v>93.759999999999991</v>
      </c>
      <c r="E25" s="20"/>
      <c r="F25" s="36" t="s">
        <v>127</v>
      </c>
      <c r="G25" s="36"/>
      <c r="H25" s="36"/>
      <c r="I25" s="36"/>
    </row>
    <row r="26" spans="1:9" s="23" customFormat="1" ht="15">
      <c r="A26" s="28" t="s">
        <v>128</v>
      </c>
      <c r="B26" s="29"/>
      <c r="C26" s="30"/>
      <c r="D26" s="30"/>
      <c r="E26" s="20"/>
      <c r="F26" s="31">
        <v>3025</v>
      </c>
      <c r="G26" s="32" t="s">
        <v>129</v>
      </c>
      <c r="H26" s="33">
        <v>9.23</v>
      </c>
      <c r="I26" s="35">
        <f>IF($L$1&lt;&gt;3,TRUNC(H26/0.7,2),TRUNC(H26*0.8,2))-0.77</f>
        <v>12.41</v>
      </c>
    </row>
    <row r="27" spans="1:9" s="23" customFormat="1">
      <c r="A27" s="31">
        <v>482</v>
      </c>
      <c r="B27" s="32" t="s">
        <v>130</v>
      </c>
      <c r="C27" s="33">
        <v>4.4800000000000004</v>
      </c>
      <c r="D27" s="34">
        <f>IF($L$1&lt;&gt;3,TRUNC(C27/0.7,2),TRUNC(C27*0.8,2))-0.38</f>
        <v>6.0200000000000005</v>
      </c>
      <c r="E27" s="20"/>
      <c r="F27" s="31">
        <v>3026</v>
      </c>
      <c r="G27" s="32" t="s">
        <v>131</v>
      </c>
      <c r="H27" s="33">
        <v>11.36</v>
      </c>
      <c r="I27" s="35">
        <f>IF($L$1&lt;&gt;3,TRUNC(H27/0.7,2),TRUNC(H27*0.8,2))-0.95</f>
        <v>15.27</v>
      </c>
    </row>
    <row r="28" spans="1:9" s="23" customFormat="1">
      <c r="A28" s="31">
        <v>426</v>
      </c>
      <c r="B28" s="32" t="s">
        <v>132</v>
      </c>
      <c r="C28" s="33">
        <v>6.68</v>
      </c>
      <c r="D28" s="34">
        <f>IF($L$1&lt;&gt;3,TRUNC(C28/0.7,2),TRUNC(C28*0.8,2))-0.57</f>
        <v>8.9699999999999989</v>
      </c>
      <c r="E28" s="20"/>
      <c r="F28" s="31">
        <v>3040</v>
      </c>
      <c r="G28" s="32" t="s">
        <v>133</v>
      </c>
      <c r="H28" s="33">
        <v>12.78</v>
      </c>
      <c r="I28" s="35">
        <f>IF($L$1&lt;&gt;3,TRUNC(H28/0.7,2),TRUNC(H28*0.8,2))-1.08</f>
        <v>17.170000000000002</v>
      </c>
    </row>
    <row r="29" spans="1:9" s="23" customFormat="1">
      <c r="A29" s="31">
        <v>783</v>
      </c>
      <c r="B29" s="32" t="s">
        <v>134</v>
      </c>
      <c r="C29" s="33">
        <v>5.81</v>
      </c>
      <c r="D29" s="34">
        <f>IF($L$1&lt;&gt;3,TRUNC(C29/0.7,2),TRUNC(C29*0.8,2))-0.49</f>
        <v>7.8100000000000005</v>
      </c>
      <c r="E29" s="20"/>
      <c r="F29" s="31">
        <v>3042</v>
      </c>
      <c r="G29" s="32" t="s">
        <v>135</v>
      </c>
      <c r="H29" s="33">
        <v>12.78</v>
      </c>
      <c r="I29" s="35">
        <f>IF($L$1&lt;&gt;3,TRUNC(H29/0.7,2),TRUNC(H29*0.8,2))-1.08</f>
        <v>17.170000000000002</v>
      </c>
    </row>
    <row r="30" spans="1:9" s="23" customFormat="1" ht="15">
      <c r="A30" s="31">
        <v>911</v>
      </c>
      <c r="B30" s="32" t="s">
        <v>136</v>
      </c>
      <c r="C30" s="33">
        <v>8.58</v>
      </c>
      <c r="D30" s="34">
        <f>IF($L$1&lt;&gt;3,TRUNC(C30/0.7,2),TRUNC(C30*0.8,2))-0.71</f>
        <v>11.54</v>
      </c>
      <c r="E30" s="20"/>
      <c r="F30" s="28" t="s">
        <v>137</v>
      </c>
      <c r="G30" s="29"/>
      <c r="H30" s="30"/>
      <c r="I30" s="30"/>
    </row>
    <row r="31" spans="1:9" s="23" customFormat="1">
      <c r="A31" s="31">
        <v>909</v>
      </c>
      <c r="B31" s="32" t="s">
        <v>138</v>
      </c>
      <c r="C31" s="33">
        <v>41.8</v>
      </c>
      <c r="D31" s="34">
        <f>IF($L$1&lt;&gt;3,TRUNC(C31/0.7,2),TRUNC(C31*0.8,2))-3.53</f>
        <v>56.18</v>
      </c>
      <c r="E31" s="20"/>
      <c r="F31" s="31">
        <v>3705</v>
      </c>
      <c r="G31" s="32" t="s">
        <v>139</v>
      </c>
      <c r="H31" s="33">
        <v>6.27</v>
      </c>
      <c r="I31" s="35">
        <f>IF($L$1&lt;&gt;3,TRUNC(H31/0.7,2),TRUNC(H31*0.8,2))-0.18</f>
        <v>8.77</v>
      </c>
    </row>
    <row r="32" spans="1:9" s="23" customFormat="1">
      <c r="A32" s="31" t="s">
        <v>80</v>
      </c>
      <c r="B32"/>
      <c r="C32" s="37" t="s">
        <v>140</v>
      </c>
      <c r="D32" s="34">
        <f>D31/50</f>
        <v>1.1235999999999999</v>
      </c>
      <c r="E32" s="20"/>
      <c r="F32" s="31">
        <v>3718</v>
      </c>
      <c r="G32" s="32" t="s">
        <v>141</v>
      </c>
      <c r="H32" s="33">
        <v>4.29</v>
      </c>
      <c r="I32" s="35">
        <f>IF($L$1&lt;&gt;3,TRUNC(H32/0.7,2),TRUNC(H32*0.8,2))-0.12</f>
        <v>6</v>
      </c>
    </row>
    <row r="33" spans="1:9" s="23" customFormat="1">
      <c r="A33" s="31">
        <v>454</v>
      </c>
      <c r="B33" s="32" t="s">
        <v>142</v>
      </c>
      <c r="C33" s="33">
        <v>5.0599999999999996</v>
      </c>
      <c r="D33" s="34">
        <f>IF($L$1&lt;&gt;3,TRUNC(C33/0.7,2),TRUNC(C33*0.8,2))-0.42</f>
        <v>6.8</v>
      </c>
      <c r="E33" s="20"/>
      <c r="F33" s="31">
        <v>3759</v>
      </c>
      <c r="G33" s="32" t="s">
        <v>143</v>
      </c>
      <c r="H33" s="33">
        <v>2.2200000000000002</v>
      </c>
      <c r="I33" s="35">
        <f>IF($L$1&lt;&gt;3,TRUNC(H33/0.7,2),TRUNC(H33*0.8,2))-0.07</f>
        <v>3.1</v>
      </c>
    </row>
    <row r="34" spans="1:9" s="23" customFormat="1">
      <c r="A34" s="31">
        <v>780</v>
      </c>
      <c r="B34" s="32" t="s">
        <v>144</v>
      </c>
      <c r="C34" s="33">
        <v>8.24</v>
      </c>
      <c r="D34" s="34">
        <f>IF($L$1&lt;&gt;3,TRUNC(C34/0.7,2),TRUNC(C34*0.8,2))-0.7</f>
        <v>11.07</v>
      </c>
      <c r="E34" s="20"/>
      <c r="F34" s="31">
        <v>3761</v>
      </c>
      <c r="G34" s="32" t="s">
        <v>96</v>
      </c>
      <c r="H34" s="33">
        <v>31.57</v>
      </c>
      <c r="I34" s="35">
        <f>IF($L$1&lt;&gt;3,TRUNC(H34/0.7,2),TRUNC(H34*0.8,2))-0.97</f>
        <v>44.13</v>
      </c>
    </row>
    <row r="35" spans="1:9" s="23" customFormat="1">
      <c r="A35" s="31">
        <v>782</v>
      </c>
      <c r="B35" s="32" t="s">
        <v>145</v>
      </c>
      <c r="C35" s="33">
        <v>8.67</v>
      </c>
      <c r="D35" s="34">
        <f>IF($L$1&lt;&gt;3,TRUNC(C35/0.7,2),TRUNC(C35*0.8,2))-0.72</f>
        <v>11.66</v>
      </c>
      <c r="E35" s="20"/>
      <c r="F35" s="31">
        <v>3706</v>
      </c>
      <c r="G35" s="32" t="s">
        <v>146</v>
      </c>
      <c r="H35" s="33">
        <v>3.26</v>
      </c>
      <c r="I35" s="35">
        <f>IF($L$1&lt;&gt;3,TRUNC(H35/0.7,2),TRUNC(H35*0.8,2))-0.1</f>
        <v>4.5500000000000007</v>
      </c>
    </row>
    <row r="36" spans="1:9" s="23" customFormat="1">
      <c r="A36" s="31">
        <v>402</v>
      </c>
      <c r="B36" s="32" t="s">
        <v>147</v>
      </c>
      <c r="C36" s="33">
        <v>3.74</v>
      </c>
      <c r="D36" s="34">
        <f>IF($L$1&lt;&gt;3,TRUNC(C36/0.7,2),TRUNC(C36*0.8,2))-0.31</f>
        <v>5.03</v>
      </c>
      <c r="E36" s="20"/>
      <c r="F36" s="31">
        <v>3707</v>
      </c>
      <c r="G36" s="32" t="s">
        <v>148</v>
      </c>
      <c r="H36" s="33">
        <v>5.26</v>
      </c>
      <c r="I36" s="35">
        <f>IF($L$1&lt;&gt;3,TRUNC(H36/0.7,2),TRUNC(H36*0.8,2))-0.15</f>
        <v>7.3599999999999994</v>
      </c>
    </row>
    <row r="37" spans="1:9" s="23" customFormat="1">
      <c r="A37" s="31">
        <v>406</v>
      </c>
      <c r="B37" s="32" t="s">
        <v>149</v>
      </c>
      <c r="C37" s="33">
        <v>3.74</v>
      </c>
      <c r="D37" s="34">
        <f>IF($L$1&lt;&gt;3,TRUNC(C37/0.7,2),TRUNC(C37*0.8,2))-0.31</f>
        <v>5.03</v>
      </c>
      <c r="E37" s="20"/>
      <c r="F37" s="31">
        <v>3708</v>
      </c>
      <c r="G37" s="32" t="s">
        <v>150</v>
      </c>
      <c r="H37" s="33">
        <v>5.27</v>
      </c>
      <c r="I37" s="35">
        <f>IF($L$1&lt;&gt;3,TRUNC(H37/0.7,2),TRUNC(H37*0.8,2))-0.15</f>
        <v>7.3699999999999992</v>
      </c>
    </row>
    <row r="38" spans="1:9" s="23" customFormat="1" ht="15">
      <c r="A38" s="31">
        <v>400</v>
      </c>
      <c r="B38" s="32" t="s">
        <v>151</v>
      </c>
      <c r="C38" s="33">
        <v>37.47</v>
      </c>
      <c r="D38" s="34">
        <f>IF($L$1&lt;&gt;3,TRUNC(C38/0.7,2),TRUNC(C38*0.8,2))-3.16</f>
        <v>50.36</v>
      </c>
      <c r="E38" s="20"/>
      <c r="F38" s="28" t="s">
        <v>152</v>
      </c>
      <c r="G38" s="29"/>
      <c r="H38" s="30"/>
      <c r="I38" s="30"/>
    </row>
    <row r="39" spans="1:9" s="23" customFormat="1">
      <c r="A39" s="31"/>
      <c r="B39" s="32"/>
      <c r="C39" s="37" t="s">
        <v>140</v>
      </c>
      <c r="D39" s="34">
        <f>D38/100*2</f>
        <v>1.0072000000000001</v>
      </c>
      <c r="E39" s="20"/>
      <c r="F39" s="31">
        <v>1411</v>
      </c>
      <c r="G39" s="32" t="s">
        <v>153</v>
      </c>
      <c r="H39" s="33">
        <v>5.03</v>
      </c>
      <c r="I39" s="35">
        <f>IF($L$1&lt;&gt;3,TRUNC(H39/0.7,2),TRUNC(H39*0.8,2))-0.14</f>
        <v>7.04</v>
      </c>
    </row>
    <row r="40" spans="1:9" s="23" customFormat="1">
      <c r="A40" s="31">
        <v>401</v>
      </c>
      <c r="B40" s="32" t="s">
        <v>154</v>
      </c>
      <c r="C40" s="33">
        <v>37.47</v>
      </c>
      <c r="D40" s="34">
        <f>IF($L$1&lt;&gt;3,TRUNC(C40/0.7,2),TRUNC(C40*0.8,2))-3.16</f>
        <v>50.36</v>
      </c>
      <c r="E40" s="20"/>
      <c r="F40" s="31">
        <v>4412</v>
      </c>
      <c r="G40" s="38" t="s">
        <v>155</v>
      </c>
      <c r="H40" s="33">
        <v>6.77</v>
      </c>
      <c r="I40" s="35">
        <f>IF($L$1&lt;&gt;3,TRUNC(H40/0.7,2),TRUNC(H40*0.8,2))-0.21</f>
        <v>9.4599999999999991</v>
      </c>
    </row>
    <row r="41" spans="1:9" s="23" customFormat="1" ht="15">
      <c r="A41" s="31"/>
      <c r="B41" s="32"/>
      <c r="C41" s="37" t="s">
        <v>140</v>
      </c>
      <c r="D41" s="34">
        <f>D40/100*2</f>
        <v>1.0072000000000001</v>
      </c>
      <c r="E41" s="20"/>
      <c r="F41" s="28" t="s">
        <v>156</v>
      </c>
      <c r="G41" s="29"/>
      <c r="H41" s="30"/>
      <c r="I41" s="30"/>
    </row>
    <row r="42" spans="1:9" s="23" customFormat="1">
      <c r="A42" s="31">
        <v>410</v>
      </c>
      <c r="B42" s="32" t="s">
        <v>270</v>
      </c>
      <c r="C42" s="33">
        <v>5.46</v>
      </c>
      <c r="D42" s="34">
        <f>IF($L$1&lt;&gt;3,TRUNC(C42/0.7,2),TRUNC(C42*0.8,2))-0.46</f>
        <v>7.34</v>
      </c>
      <c r="E42" s="20"/>
      <c r="F42" s="31">
        <v>9414</v>
      </c>
      <c r="G42" s="32" t="s">
        <v>157</v>
      </c>
      <c r="H42" s="33">
        <v>36.28</v>
      </c>
      <c r="I42" s="35">
        <f>IF($L$1&lt;&gt;3,TRUNC(H42/0.7,2),TRUNC(H42*0.8,2))-1.12</f>
        <v>50.7</v>
      </c>
    </row>
    <row r="43" spans="1:9" s="23" customFormat="1">
      <c r="A43" s="31">
        <v>490</v>
      </c>
      <c r="B43" s="32" t="s">
        <v>158</v>
      </c>
      <c r="C43" s="33">
        <v>7.59</v>
      </c>
      <c r="D43" s="34">
        <f>IF($L$1&lt;&gt;3,TRUNC(C43/0.7,2),TRUNC(C43*0.8,2))-0.63</f>
        <v>10.209999999999999</v>
      </c>
      <c r="E43" s="20"/>
      <c r="F43" s="31">
        <v>9455</v>
      </c>
      <c r="G43" s="32" t="s">
        <v>159</v>
      </c>
      <c r="H43" s="33">
        <v>39.47</v>
      </c>
      <c r="I43" s="35">
        <f>IF($L$1&lt;&gt;3,TRUNC(H43/0.7,2),TRUNC(H43*0.8,2))-1.21</f>
        <v>55.17</v>
      </c>
    </row>
    <row r="44" spans="1:9" s="23" customFormat="1" ht="15">
      <c r="A44" s="31">
        <v>495</v>
      </c>
      <c r="B44" s="32" t="s">
        <v>160</v>
      </c>
      <c r="C44" s="33">
        <v>11.43</v>
      </c>
      <c r="D44" s="34">
        <f>IF($L$1&lt;&gt;3,TRUNC(C44/0.7,2),TRUNC(C44*0.8,2))-0.96</f>
        <v>15.36</v>
      </c>
      <c r="E44" s="20"/>
      <c r="F44" s="28" t="s">
        <v>161</v>
      </c>
      <c r="G44" s="29"/>
      <c r="H44" s="30"/>
      <c r="I44" s="30"/>
    </row>
    <row r="45" spans="1:9" s="23" customFormat="1">
      <c r="A45" s="39">
        <v>785</v>
      </c>
      <c r="B45" s="32" t="s">
        <v>162</v>
      </c>
      <c r="C45" s="33">
        <v>18.03</v>
      </c>
      <c r="D45" s="34">
        <v>25.74</v>
      </c>
      <c r="E45" s="20"/>
      <c r="F45" s="31">
        <v>4515</v>
      </c>
      <c r="G45" s="32" t="s">
        <v>163</v>
      </c>
      <c r="H45" s="33">
        <v>9.42</v>
      </c>
      <c r="I45" s="35">
        <f>IF($L$1&lt;&gt;3,TRUNC(H45/0.7,2),TRUNC(H45*0.8,2))-0.79</f>
        <v>12.66</v>
      </c>
    </row>
    <row r="46" spans="1:9" s="23" customFormat="1" ht="15">
      <c r="A46" s="39">
        <v>786</v>
      </c>
      <c r="B46" s="32" t="s">
        <v>164</v>
      </c>
      <c r="C46" s="33">
        <v>18.03</v>
      </c>
      <c r="D46" s="34">
        <v>25.74</v>
      </c>
      <c r="E46" s="20"/>
      <c r="F46" s="28" t="s">
        <v>165</v>
      </c>
      <c r="G46" s="40"/>
      <c r="H46" s="41"/>
      <c r="I46" s="41"/>
    </row>
    <row r="47" spans="1:9" s="23" customFormat="1" ht="15">
      <c r="A47" s="28" t="s">
        <v>166</v>
      </c>
      <c r="B47" s="29"/>
      <c r="C47" s="30"/>
      <c r="D47" s="30"/>
      <c r="E47" s="20"/>
      <c r="F47" s="39">
        <v>3801</v>
      </c>
      <c r="G47" s="32" t="s">
        <v>167</v>
      </c>
      <c r="H47" s="33">
        <v>5.5</v>
      </c>
      <c r="I47" s="35">
        <f>IF($L$1&lt;&gt;3,TRUNC(H47/0.7,2),TRUNC(H47*0.8,2))-0.16</f>
        <v>7.6899999999999995</v>
      </c>
    </row>
    <row r="48" spans="1:9" s="23" customFormat="1" ht="15">
      <c r="A48" s="31">
        <v>2412</v>
      </c>
      <c r="B48" s="32" t="s">
        <v>168</v>
      </c>
      <c r="C48" s="33">
        <v>17.010000000000002</v>
      </c>
      <c r="D48" s="34">
        <f>IF($L$1&lt;&gt;3,TRUNC(C48/0.7,2),TRUNC(C48*0.8,2))-0.52</f>
        <v>23.78</v>
      </c>
      <c r="E48" s="20"/>
      <c r="F48" s="28" t="s">
        <v>169</v>
      </c>
      <c r="G48" s="29"/>
      <c r="H48" s="30"/>
      <c r="I48" s="30"/>
    </row>
    <row r="49" spans="1:13" s="23" customFormat="1">
      <c r="A49" s="31" t="s">
        <v>80</v>
      </c>
      <c r="B49"/>
      <c r="C49" s="37" t="s">
        <v>170</v>
      </c>
      <c r="D49" s="34">
        <f>D48/3</f>
        <v>7.9266666666666667</v>
      </c>
      <c r="E49" s="20"/>
      <c r="F49" s="31">
        <v>2112</v>
      </c>
      <c r="G49" s="32" t="s">
        <v>171</v>
      </c>
      <c r="H49" s="33">
        <v>18.82</v>
      </c>
      <c r="I49" s="35">
        <f>IF($L$1&lt;&gt;3,TRUNC(H49/0.7,2),TRUNC(H49*0.8,2))-1.58</f>
        <v>25.299999999999997</v>
      </c>
    </row>
    <row r="50" spans="1:13" s="23" customFormat="1" ht="15">
      <c r="A50" s="28" t="s">
        <v>172</v>
      </c>
      <c r="B50" s="29"/>
      <c r="C50" s="30"/>
      <c r="D50" s="30"/>
      <c r="E50" s="20"/>
      <c r="F50" s="31">
        <v>2111</v>
      </c>
      <c r="G50" s="32" t="s">
        <v>173</v>
      </c>
      <c r="H50" s="33">
        <v>25.1</v>
      </c>
      <c r="I50" s="35">
        <f>IF($L$1&lt;&gt;3,TRUNC(H50/0.7,2),TRUNC(H50*0.8,2))-2.12</f>
        <v>33.730000000000004</v>
      </c>
    </row>
    <row r="51" spans="1:13" s="23" customFormat="1" ht="15">
      <c r="A51" s="31">
        <v>861</v>
      </c>
      <c r="B51" s="32" t="s">
        <v>174</v>
      </c>
      <c r="C51" s="33">
        <v>6.68</v>
      </c>
      <c r="D51" s="34">
        <f>IF($L$1&lt;&gt;3,TRUNC(C51/0.7439,2),TRUNC(C51*0.8,2))</f>
        <v>8.9700000000000006</v>
      </c>
      <c r="E51" s="20"/>
      <c r="F51" s="28" t="s">
        <v>175</v>
      </c>
      <c r="G51" s="29"/>
      <c r="H51" s="30"/>
      <c r="I51" s="30"/>
    </row>
    <row r="52" spans="1:13" s="23" customFormat="1">
      <c r="A52" s="31">
        <v>887</v>
      </c>
      <c r="B52" s="32" t="s">
        <v>176</v>
      </c>
      <c r="C52" s="33">
        <v>18.920000000000002</v>
      </c>
      <c r="D52" s="34">
        <f>IF($L$1&lt;&gt;3,TRUNC(C52/0.7439,2),TRUNC(C52*0.8,2))</f>
        <v>25.43</v>
      </c>
      <c r="E52" s="20"/>
      <c r="F52" s="31">
        <v>5431</v>
      </c>
      <c r="G52" s="32" t="s">
        <v>177</v>
      </c>
      <c r="H52" s="33">
        <v>20.75</v>
      </c>
      <c r="I52" s="35">
        <f>IF($L$1&lt;&gt;3,TRUNC(H52/0.7,2),TRUNC(H52*0.8,2))-0.63</f>
        <v>29.01</v>
      </c>
    </row>
    <row r="53" spans="1:13" s="23" customFormat="1">
      <c r="A53" s="31">
        <v>820</v>
      </c>
      <c r="B53" s="32" t="s">
        <v>178</v>
      </c>
      <c r="C53" s="33">
        <v>3.48</v>
      </c>
      <c r="D53" s="34">
        <f>IF($L$1&lt;&gt;3,TRUNC(C53/0.7,2),TRUNC(C53*0.8,2))-0.29</f>
        <v>4.68</v>
      </c>
      <c r="E53" s="20"/>
      <c r="F53" s="31">
        <v>5429</v>
      </c>
      <c r="G53" s="32" t="s">
        <v>179</v>
      </c>
      <c r="H53" s="33">
        <v>17.52</v>
      </c>
      <c r="I53" s="35">
        <f>IF($L$1&lt;&gt;3,TRUNC(H53/0.7,2),TRUNC(H53*0.8,2))-0.53</f>
        <v>24.49</v>
      </c>
    </row>
    <row r="54" spans="1:13" s="23" customFormat="1" ht="15">
      <c r="A54" s="31">
        <v>891</v>
      </c>
      <c r="B54" s="32" t="s">
        <v>180</v>
      </c>
      <c r="C54" s="33">
        <v>5.07</v>
      </c>
      <c r="D54" s="34">
        <f>IF($L$1&lt;&gt;3,TRUNC(C54/0.7,2),TRUNC(C54*0.8,2))-0.43</f>
        <v>6.8100000000000005</v>
      </c>
      <c r="E54" s="20"/>
      <c r="F54" s="28" t="s">
        <v>181</v>
      </c>
      <c r="G54" s="29"/>
      <c r="H54" s="30"/>
      <c r="I54" s="30"/>
    </row>
    <row r="55" spans="1:13" s="23" customFormat="1" ht="15">
      <c r="A55" s="28" t="s">
        <v>182</v>
      </c>
      <c r="B55" s="29"/>
      <c r="C55" s="30"/>
      <c r="D55" s="30"/>
      <c r="E55" s="20"/>
      <c r="F55" s="31">
        <v>610</v>
      </c>
      <c r="G55" s="32" t="s">
        <v>183</v>
      </c>
      <c r="H55" s="33">
        <v>12.48</v>
      </c>
      <c r="I55" s="35">
        <f>IF($L$1&lt;&gt;3,TRUNC(H55/0.7,2),TRUNC(H55*0.8,2))-1.04</f>
        <v>16.78</v>
      </c>
    </row>
    <row r="56" spans="1:13" s="23" customFormat="1" ht="15">
      <c r="A56" s="31">
        <v>2726</v>
      </c>
      <c r="B56" s="32" t="s">
        <v>184</v>
      </c>
      <c r="C56" s="33">
        <v>206.72</v>
      </c>
      <c r="D56" s="34">
        <f>IF($L$1&lt;&gt;3,TRUNC(C56/0.7,2),TRUNC(C56*0.8,2))-6.37</f>
        <v>288.94</v>
      </c>
      <c r="E56" s="20"/>
      <c r="F56" s="28" t="s">
        <v>185</v>
      </c>
      <c r="G56" s="29"/>
      <c r="H56" s="30"/>
      <c r="I56" s="30"/>
    </row>
    <row r="57" spans="1:13" s="23" customFormat="1" ht="15">
      <c r="A57" s="28" t="s">
        <v>186</v>
      </c>
      <c r="B57" s="29"/>
      <c r="C57" s="30"/>
      <c r="D57" s="30"/>
      <c r="E57" s="20"/>
      <c r="F57" s="31">
        <v>5548</v>
      </c>
      <c r="G57" s="32" t="s">
        <v>187</v>
      </c>
      <c r="H57" s="33">
        <v>8.86</v>
      </c>
      <c r="I57" s="35">
        <f>IF($L$1&lt;&gt;3,TRUNC(H57/0.7,2),TRUNC(H57*0.8,2))-0.74</f>
        <v>11.91</v>
      </c>
    </row>
    <row r="58" spans="1:13" s="23" customFormat="1">
      <c r="A58" s="31">
        <v>128</v>
      </c>
      <c r="B58" s="32" t="s">
        <v>188</v>
      </c>
      <c r="C58" s="33">
        <v>21.09</v>
      </c>
      <c r="D58" s="34">
        <f>IF($L$1&lt;&gt;3,TRUNC(C58/0.7,2),TRUNC(C58*0.8,2))-0.64</f>
        <v>29.48</v>
      </c>
      <c r="E58" s="20"/>
      <c r="F58" s="31">
        <v>5535</v>
      </c>
      <c r="G58" s="32" t="s">
        <v>189</v>
      </c>
      <c r="H58" s="33">
        <v>6</v>
      </c>
      <c r="I58" s="35">
        <f>IF($L$1&lt;&gt;3,TRUNC(H58/0.7,2),TRUNC(H58*0.8,2))-0.51</f>
        <v>8.06</v>
      </c>
      <c r="J58"/>
      <c r="K58"/>
      <c r="L58"/>
      <c r="M58"/>
    </row>
    <row r="59" spans="1:13" s="23" customFormat="1" ht="15">
      <c r="A59" s="31">
        <v>120</v>
      </c>
      <c r="B59" s="32" t="s">
        <v>190</v>
      </c>
      <c r="C59" s="33">
        <v>13.29</v>
      </c>
      <c r="D59" s="34">
        <f>IF($L$1&lt;&gt;3,TRUNC(C59/0.7,2),TRUNC(C59*0.8,2))-0.4</f>
        <v>18.580000000000002</v>
      </c>
      <c r="E59" s="20"/>
      <c r="F59" s="28" t="s">
        <v>191</v>
      </c>
      <c r="G59" s="29"/>
      <c r="H59" s="30"/>
      <c r="I59" s="30"/>
      <c r="J59"/>
      <c r="K59"/>
      <c r="L59"/>
      <c r="M59"/>
    </row>
    <row r="60" spans="1:13" s="23" customFormat="1">
      <c r="A60" s="31">
        <v>122</v>
      </c>
      <c r="B60" s="32" t="s">
        <v>192</v>
      </c>
      <c r="C60" s="33">
        <v>15.76</v>
      </c>
      <c r="D60" s="34">
        <f>IF($L$1&lt;&gt;3,TRUNC(C60/0.7,2),TRUNC(C60*0.8,2))-0.47</f>
        <v>22.040000000000003</v>
      </c>
      <c r="E60" s="20"/>
      <c r="F60" s="31">
        <v>6107</v>
      </c>
      <c r="G60" s="32" t="s">
        <v>193</v>
      </c>
      <c r="H60" s="33">
        <v>2.77</v>
      </c>
      <c r="I60" s="35">
        <f>IF($L$1&lt;&gt;3,TRUNC(H60/0.7,2),TRUNC(H60*0.8,2))-0.23</f>
        <v>3.72</v>
      </c>
      <c r="J60"/>
      <c r="K60"/>
      <c r="L60"/>
      <c r="M60"/>
    </row>
    <row r="61" spans="1:13" s="23" customFormat="1">
      <c r="A61" s="31">
        <v>123</v>
      </c>
      <c r="B61" s="32" t="s">
        <v>194</v>
      </c>
      <c r="C61" s="33">
        <v>16.86</v>
      </c>
      <c r="D61" s="34">
        <f>IF($L$1&lt;&gt;3,TRUNC(C61/0.7,2),TRUNC(C61*0.8,2))-0.51</f>
        <v>23.569999999999997</v>
      </c>
      <c r="E61" s="20"/>
      <c r="F61" s="31">
        <v>6111</v>
      </c>
      <c r="G61" s="32" t="s">
        <v>195</v>
      </c>
      <c r="H61" s="33">
        <v>2.94</v>
      </c>
      <c r="I61" s="35">
        <f>IF($L$1&lt;&gt;3,TRUNC(H61/0.7,2),TRUNC(H61*0.8,2))-0.25</f>
        <v>3.95</v>
      </c>
      <c r="J61"/>
      <c r="K61"/>
      <c r="L61"/>
      <c r="M61"/>
    </row>
    <row r="62" spans="1:13" s="23" customFormat="1" ht="15">
      <c r="A62" s="31">
        <v>124</v>
      </c>
      <c r="B62" s="32" t="s">
        <v>196</v>
      </c>
      <c r="C62" s="33">
        <v>21.57</v>
      </c>
      <c r="D62" s="34">
        <f>IF($L$1&lt;&gt;3,TRUNC(C62/0.7,2),TRUNC(C62*0.8,2))-0.66</f>
        <v>30.15</v>
      </c>
      <c r="E62" s="20"/>
      <c r="F62" s="28" t="s">
        <v>197</v>
      </c>
      <c r="G62" s="29"/>
      <c r="H62" s="30"/>
      <c r="I62" s="30"/>
      <c r="J62"/>
      <c r="K62"/>
      <c r="L62"/>
      <c r="M62"/>
    </row>
    <row r="63" spans="1:13" s="23" customFormat="1" ht="15">
      <c r="A63" s="28" t="s">
        <v>198</v>
      </c>
      <c r="B63" s="29"/>
      <c r="C63" s="30"/>
      <c r="D63" s="30"/>
      <c r="E63" s="20"/>
      <c r="F63" s="31">
        <v>6317</v>
      </c>
      <c r="G63" s="32" t="s">
        <v>199</v>
      </c>
      <c r="H63" s="33">
        <v>10.23</v>
      </c>
      <c r="I63" s="35">
        <f>IF($L$1&lt;&gt;3,TRUNC(H63/0.7,2),TRUNC(H63*0.8,2))-0.86</f>
        <v>13.75</v>
      </c>
    </row>
    <row r="64" spans="1:13" s="23" customFormat="1" ht="15">
      <c r="A64" s="31">
        <v>1104</v>
      </c>
      <c r="B64" s="32" t="s">
        <v>200</v>
      </c>
      <c r="C64" s="33">
        <v>14.53</v>
      </c>
      <c r="D64" s="34">
        <f>IF($L$1&lt;&gt;3,TRUNC(C64/0.7,2),TRUNC(C64*0.8,2))-0.44</f>
        <v>20.309999999999999</v>
      </c>
      <c r="E64" s="20"/>
      <c r="F64" s="28" t="s">
        <v>201</v>
      </c>
      <c r="G64" s="29"/>
      <c r="H64" s="30"/>
      <c r="I64" s="30"/>
    </row>
    <row r="65" spans="1:14" s="23" customFormat="1">
      <c r="A65" s="31">
        <v>1106</v>
      </c>
      <c r="B65" s="32" t="s">
        <v>202</v>
      </c>
      <c r="C65" s="33">
        <v>8.82</v>
      </c>
      <c r="D65" s="34">
        <f>IF($L$1&lt;&gt;3,TRUNC(C65/0.7,2),TRUNC(C65*0.8,2))-0.28</f>
        <v>12.32</v>
      </c>
      <c r="E65" s="20"/>
      <c r="F65" s="31">
        <v>6408</v>
      </c>
      <c r="G65" s="32" t="s">
        <v>203</v>
      </c>
      <c r="H65" s="33">
        <v>8.91</v>
      </c>
      <c r="I65" s="35">
        <f>IF($L$1&lt;&gt;3,TRUNC(H65/0.7,2),TRUNC(H65*0.8,2))-0.75</f>
        <v>11.97</v>
      </c>
    </row>
    <row r="66" spans="1:14" s="23" customFormat="1" ht="15">
      <c r="A66" s="31">
        <v>1108</v>
      </c>
      <c r="B66" s="32" t="s">
        <v>204</v>
      </c>
      <c r="C66" s="33">
        <v>23.41</v>
      </c>
      <c r="D66" s="34">
        <f>IF($L$1&lt;&gt;3,TRUNC(C66/0.7,2),TRUNC(C66*0.8,2))-0.71</f>
        <v>32.729999999999997</v>
      </c>
      <c r="E66" s="20"/>
      <c r="F66" s="28" t="s">
        <v>205</v>
      </c>
      <c r="G66" s="29"/>
      <c r="H66" s="30"/>
      <c r="I66" s="30"/>
    </row>
    <row r="67" spans="1:14" s="23" customFormat="1" ht="15">
      <c r="A67" s="28" t="s">
        <v>206</v>
      </c>
      <c r="B67" s="29"/>
      <c r="C67" s="30"/>
      <c r="D67" s="30"/>
      <c r="E67" s="20"/>
      <c r="F67" s="31">
        <v>1838</v>
      </c>
      <c r="G67" s="32" t="s">
        <v>207</v>
      </c>
      <c r="H67" s="33">
        <v>5.9</v>
      </c>
      <c r="I67" s="35">
        <f>IF($L$1&lt;&gt;3,TRUNC(H67/0.7,2),TRUNC(H67*0.8,2))-0.49</f>
        <v>7.93</v>
      </c>
    </row>
    <row r="68" spans="1:14" s="23" customFormat="1">
      <c r="A68" s="31">
        <v>846</v>
      </c>
      <c r="B68" s="32" t="s">
        <v>208</v>
      </c>
      <c r="C68" s="33">
        <v>18.53</v>
      </c>
      <c r="D68" s="34">
        <f>IF($L$1&lt;&gt;3,TRUNC(C68/0.7,2),TRUNC(C68*0.8,2))-1.57</f>
        <v>24.9</v>
      </c>
      <c r="E68" s="20"/>
      <c r="F68" s="31">
        <v>1840</v>
      </c>
      <c r="G68" s="32" t="s">
        <v>209</v>
      </c>
      <c r="H68" s="33">
        <v>15.35</v>
      </c>
      <c r="I68" s="35">
        <f>IF($L$1&lt;&gt;3,TRUNC(H68/0.7,2),TRUNC(H68*0.8,2))-1.3</f>
        <v>20.62</v>
      </c>
    </row>
    <row r="69" spans="1:14" s="23" customFormat="1" ht="15">
      <c r="A69" s="31">
        <v>859</v>
      </c>
      <c r="B69" s="32" t="s">
        <v>210</v>
      </c>
      <c r="C69" s="33">
        <v>8.9700000000000006</v>
      </c>
      <c r="D69" s="34">
        <v>12.54</v>
      </c>
      <c r="E69" s="20"/>
      <c r="F69" s="36" t="s">
        <v>211</v>
      </c>
      <c r="G69" s="36"/>
      <c r="H69" s="36"/>
      <c r="I69" s="36"/>
    </row>
    <row r="70" spans="1:14" s="23" customFormat="1" ht="15">
      <c r="A70" s="28" t="s">
        <v>212</v>
      </c>
      <c r="B70" s="29"/>
      <c r="C70" s="30"/>
      <c r="D70" s="30"/>
      <c r="E70" s="20"/>
      <c r="F70" s="31">
        <v>7127</v>
      </c>
      <c r="G70" s="32" t="s">
        <v>213</v>
      </c>
      <c r="H70" s="33">
        <v>39.61</v>
      </c>
      <c r="I70" s="35">
        <f>IF($L$1&lt;&gt;3,TRUNC(H70/0.7,2),TRUNC(H70*0.8,2))-1.21</f>
        <v>55.37</v>
      </c>
    </row>
    <row r="71" spans="1:14" s="23" customFormat="1">
      <c r="A71" s="31">
        <v>1801</v>
      </c>
      <c r="B71" s="32" t="s">
        <v>207</v>
      </c>
      <c r="C71" s="33">
        <v>4.6100000000000003</v>
      </c>
      <c r="D71" s="34">
        <f>IF($L$1&lt;&gt;3,TRUNC(C71/0.7,2),TRUNC(C71*0.8,2))-0.38</f>
        <v>6.2</v>
      </c>
      <c r="E71" s="20"/>
      <c r="F71" s="31">
        <v>7142</v>
      </c>
      <c r="G71" s="32" t="s">
        <v>214</v>
      </c>
      <c r="H71" s="33">
        <v>28.67</v>
      </c>
      <c r="I71" s="35">
        <f>IF($L$1&lt;&gt;3,TRUNC(H71/0.7,2),TRUNC(H71*0.8,2))-0.88</f>
        <v>40.07</v>
      </c>
    </row>
    <row r="72" spans="1:14" s="23" customFormat="1">
      <c r="E72" s="20"/>
    </row>
    <row r="73" spans="1:14" s="23" customFormat="1">
      <c r="E73" s="20"/>
    </row>
    <row r="74" spans="1:14" s="23" customFormat="1" ht="15" customHeight="1">
      <c r="E74" s="20"/>
      <c r="F74"/>
      <c r="G74"/>
      <c r="H74"/>
      <c r="I74"/>
      <c r="K74"/>
    </row>
    <row r="75" spans="1:14" s="23" customFormat="1" ht="15" customHeight="1">
      <c r="E75" s="20"/>
      <c r="F75"/>
      <c r="G75"/>
      <c r="H75"/>
      <c r="I75"/>
      <c r="K75"/>
    </row>
    <row r="76" spans="1:14" s="23" customFormat="1" hidden="1">
      <c r="E76" s="20"/>
    </row>
    <row r="77" spans="1:14" s="23" customFormat="1" ht="12.95" hidden="1" customHeight="1">
      <c r="E77" s="47"/>
      <c r="F77" s="42"/>
      <c r="G77" s="43"/>
      <c r="H77" s="44"/>
      <c r="I77" s="45"/>
      <c r="J77"/>
      <c r="M77" s="48"/>
      <c r="N77" s="48"/>
    </row>
    <row r="78" spans="1:14" s="23" customFormat="1" ht="12.95" customHeight="1">
      <c r="E78" s="47"/>
      <c r="J78"/>
      <c r="M78" s="48"/>
      <c r="N78" s="48"/>
    </row>
    <row r="79" spans="1:14" s="23" customFormat="1" ht="12.95" customHeight="1">
      <c r="A79" s="42"/>
      <c r="B79" s="43"/>
      <c r="C79" s="46"/>
      <c r="D79" s="46"/>
      <c r="E79" s="47"/>
      <c r="F79"/>
      <c r="G79"/>
      <c r="H79"/>
      <c r="I79"/>
      <c r="J79"/>
      <c r="M79" s="48"/>
      <c r="N79" s="48"/>
    </row>
    <row r="80" spans="1:14" s="23" customFormat="1" ht="12.95" customHeight="1">
      <c r="A80" s="31"/>
      <c r="B80" s="32"/>
      <c r="C80" s="33"/>
      <c r="D80" s="34"/>
      <c r="E80" s="47"/>
      <c r="F80"/>
      <c r="G80"/>
      <c r="H80"/>
      <c r="I80"/>
      <c r="J80"/>
      <c r="M80" s="48"/>
      <c r="N80" s="48"/>
    </row>
    <row r="81" spans="1:14" s="23" customFormat="1" ht="12.95" customHeight="1">
      <c r="A81" s="17"/>
      <c r="B81" s="18"/>
      <c r="C81" s="49" t="s">
        <v>81</v>
      </c>
      <c r="D81" s="49" t="s">
        <v>82</v>
      </c>
      <c r="E81" s="47"/>
      <c r="F81" s="50" t="s">
        <v>215</v>
      </c>
      <c r="G81" s="51"/>
      <c r="H81" s="51"/>
      <c r="I81" s="51"/>
      <c r="J81"/>
      <c r="M81" s="48"/>
      <c r="N81" s="48"/>
    </row>
    <row r="82" spans="1:14" s="23" customFormat="1" ht="12.95" customHeight="1">
      <c r="A82" s="24" t="s">
        <v>83</v>
      </c>
      <c r="B82" s="25" t="s">
        <v>84</v>
      </c>
      <c r="C82" s="26" t="s">
        <v>85</v>
      </c>
      <c r="D82" s="26" t="str">
        <f>IF($L$1&lt;&gt;3,"MÁXIMO","FUNCIONÁRIO")</f>
        <v>MÁXIMO</v>
      </c>
      <c r="E82" s="47"/>
      <c r="F82" s="52"/>
      <c r="G82" s="53"/>
      <c r="H82" s="83"/>
      <c r="J82"/>
      <c r="M82" s="48"/>
      <c r="N82" s="48"/>
    </row>
    <row r="83" spans="1:14" s="23" customFormat="1" ht="12.95" customHeight="1">
      <c r="A83" s="28" t="s">
        <v>216</v>
      </c>
      <c r="B83" s="29"/>
      <c r="C83" s="30"/>
      <c r="D83" s="30"/>
      <c r="E83" s="47"/>
      <c r="F83" s="52"/>
      <c r="G83" s="53"/>
      <c r="H83" s="49" t="s">
        <v>81</v>
      </c>
      <c r="I83" s="49" t="s">
        <v>82</v>
      </c>
      <c r="J83"/>
      <c r="M83" s="48"/>
      <c r="N83" s="48"/>
    </row>
    <row r="84" spans="1:14" s="23" customFormat="1" ht="12.95" customHeight="1">
      <c r="A84" s="31">
        <v>961</v>
      </c>
      <c r="B84" s="32" t="s">
        <v>217</v>
      </c>
      <c r="C84" s="33">
        <v>18.420000000000002</v>
      </c>
      <c r="D84" s="35">
        <f>IF($L$1&lt;&gt;3,TRUNC(C84/0.7,2),TRUNC(C84*0.8,2))-1.55</f>
        <v>24.759999999999998</v>
      </c>
      <c r="E84" s="47"/>
      <c r="F84" s="54" t="s">
        <v>83</v>
      </c>
      <c r="G84" s="55" t="s">
        <v>84</v>
      </c>
      <c r="H84" s="56" t="s">
        <v>85</v>
      </c>
      <c r="I84" s="56" t="str">
        <f>IF($L$1&lt;&gt;3,"MÁXIMO","FUNCIONÁRIO")</f>
        <v>MÁXIMO</v>
      </c>
      <c r="J84"/>
      <c r="M84" s="48"/>
      <c r="N84" s="48"/>
    </row>
    <row r="85" spans="1:14" s="23" customFormat="1" ht="12.95" customHeight="1">
      <c r="A85" s="31">
        <v>962</v>
      </c>
      <c r="B85" s="32" t="s">
        <v>219</v>
      </c>
      <c r="C85" s="33">
        <v>34.729999999999997</v>
      </c>
      <c r="D85" s="35">
        <f>IF($L$1&lt;&gt;3,TRUNC(C85/0.7,2),TRUNC(C85*0.8,2))-2.94</f>
        <v>46.67</v>
      </c>
      <c r="E85" s="47"/>
      <c r="F85" s="57" t="s">
        <v>218</v>
      </c>
      <c r="G85" s="58"/>
      <c r="H85" s="59"/>
      <c r="I85" s="60"/>
      <c r="J85"/>
      <c r="M85" s="48"/>
      <c r="N85" s="48"/>
    </row>
    <row r="86" spans="1:14" s="23" customFormat="1" ht="12.95" customHeight="1">
      <c r="A86" s="28" t="s">
        <v>221</v>
      </c>
      <c r="B86" s="29"/>
      <c r="C86" s="30"/>
      <c r="D86" s="30"/>
      <c r="E86" s="47"/>
      <c r="F86" s="31">
        <v>3806</v>
      </c>
      <c r="G86" s="61" t="s">
        <v>220</v>
      </c>
      <c r="H86" s="33">
        <v>7.17</v>
      </c>
      <c r="I86" s="35">
        <f>IF($L$1&lt;&gt;3,TRUNC(H86/0.7,2),TRUNC(H86*0.8,2))-0.22</f>
        <v>10.02</v>
      </c>
      <c r="J86"/>
      <c r="M86" s="48"/>
      <c r="N86" s="48"/>
    </row>
    <row r="87" spans="1:14" s="23" customFormat="1" ht="12.95" customHeight="1">
      <c r="A87" s="31">
        <v>7150</v>
      </c>
      <c r="B87" s="32" t="s">
        <v>223</v>
      </c>
      <c r="C87" s="33">
        <v>24.29</v>
      </c>
      <c r="D87" s="35">
        <f>IF($L$1&lt;&gt;3,TRUNC(C87/0.7,2),TRUNC(C87*0.8,2))-0.75</f>
        <v>33.950000000000003</v>
      </c>
      <c r="E87" s="47"/>
      <c r="F87" s="31">
        <v>3804</v>
      </c>
      <c r="G87" s="61" t="s">
        <v>222</v>
      </c>
      <c r="H87" s="33">
        <v>11.39</v>
      </c>
      <c r="I87" s="35">
        <f>IF($L$1&lt;&gt;3,TRUNC(H87/0.7,2),TRUNC(H87*0.8,2))-0.35</f>
        <v>15.92</v>
      </c>
      <c r="J87"/>
      <c r="M87" s="48"/>
      <c r="N87" s="48"/>
    </row>
    <row r="88" spans="1:14" s="23" customFormat="1" ht="12.95" customHeight="1">
      <c r="A88" s="31">
        <v>7151</v>
      </c>
      <c r="B88" s="32" t="s">
        <v>225</v>
      </c>
      <c r="C88" s="33">
        <v>18.98</v>
      </c>
      <c r="D88" s="35">
        <f>IF($L$1&lt;&gt;3,TRUNC(C88/0.7,2),TRUNC(C88*0.8,2))-0.58</f>
        <v>26.53</v>
      </c>
      <c r="E88" s="47"/>
      <c r="F88" s="57" t="s">
        <v>224</v>
      </c>
      <c r="G88" s="58"/>
      <c r="H88" s="59"/>
      <c r="I88" s="60"/>
      <c r="J88"/>
      <c r="M88" s="48"/>
      <c r="N88" s="48"/>
    </row>
    <row r="89" spans="1:14" s="23" customFormat="1" ht="12.95" customHeight="1">
      <c r="A89" s="31">
        <v>7152</v>
      </c>
      <c r="B89" s="32" t="s">
        <v>227</v>
      </c>
      <c r="C89" s="33">
        <v>25.37</v>
      </c>
      <c r="D89" s="35">
        <f>IF($L$1&lt;&gt;3,TRUNC(C89/0.7,2),TRUNC(C89*0.8,2))-0.78</f>
        <v>35.46</v>
      </c>
      <c r="E89" s="47"/>
      <c r="F89" s="31">
        <v>7241</v>
      </c>
      <c r="G89" s="61" t="s">
        <v>226</v>
      </c>
      <c r="H89" s="33">
        <v>6.31</v>
      </c>
      <c r="I89" s="35">
        <f>IF($L$1&lt;&gt;3,TRUNC(H89/0.7,2),TRUNC(H89*0.8,2))-0.19</f>
        <v>8.82</v>
      </c>
      <c r="J89"/>
      <c r="M89" s="48"/>
      <c r="N89" s="48"/>
    </row>
    <row r="90" spans="1:14" s="23" customFormat="1" ht="12.95" customHeight="1">
      <c r="A90" s="31">
        <v>7153</v>
      </c>
      <c r="B90" s="32" t="s">
        <v>229</v>
      </c>
      <c r="C90" s="33">
        <v>18.43</v>
      </c>
      <c r="D90" s="35">
        <f>IF($L$1&lt;&gt;3,TRUNC(C90/0.7,2),TRUNC(C90*0.8,2))-0.56</f>
        <v>25.76</v>
      </c>
      <c r="E90" s="47"/>
      <c r="F90" s="31">
        <v>7243</v>
      </c>
      <c r="G90" s="61" t="s">
        <v>228</v>
      </c>
      <c r="H90" s="33">
        <v>9.58</v>
      </c>
      <c r="I90" s="35">
        <f>IF($L$1&lt;&gt;3,TRUNC(H90/0.7,2),TRUNC(H90*0.8,2))-0.29</f>
        <v>13.39</v>
      </c>
      <c r="J90"/>
      <c r="M90" s="48"/>
      <c r="N90" s="48"/>
    </row>
    <row r="91" spans="1:14" s="23" customFormat="1" ht="12.95" customHeight="1">
      <c r="A91" s="28" t="s">
        <v>231</v>
      </c>
      <c r="B91" s="29"/>
      <c r="C91" s="30"/>
      <c r="D91" s="30"/>
      <c r="E91" s="47"/>
      <c r="F91" s="31">
        <v>7245</v>
      </c>
      <c r="G91" s="61" t="s">
        <v>230</v>
      </c>
      <c r="H91" s="33">
        <v>18.78</v>
      </c>
      <c r="I91" s="35">
        <f>IF($L$1&lt;&gt;3,TRUNC(H91/0.7,2),TRUNC(H91*0.8,2))-0.57</f>
        <v>26.25</v>
      </c>
      <c r="M91" s="48"/>
      <c r="N91" s="48"/>
    </row>
    <row r="92" spans="1:14" s="23" customFormat="1" ht="12.95" customHeight="1">
      <c r="A92" s="31">
        <v>310</v>
      </c>
      <c r="B92" s="32" t="s">
        <v>233</v>
      </c>
      <c r="C92" s="33">
        <v>10.75</v>
      </c>
      <c r="D92" s="35">
        <f>IF($L$1&lt;&gt;3,TRUNC(C92/0.7,2),TRUNC(C92*0.8,2))-0.33</f>
        <v>15.02</v>
      </c>
      <c r="E92" s="47"/>
      <c r="F92" s="57" t="s">
        <v>232</v>
      </c>
      <c r="G92" s="58"/>
      <c r="H92" s="59"/>
      <c r="I92" s="60"/>
      <c r="M92" s="48"/>
      <c r="N92" s="48"/>
    </row>
    <row r="93" spans="1:14" s="23" customFormat="1" ht="12.95" customHeight="1">
      <c r="A93" s="39">
        <v>312</v>
      </c>
      <c r="B93" s="32" t="s">
        <v>235</v>
      </c>
      <c r="C93" s="33">
        <v>20.62</v>
      </c>
      <c r="D93" s="35">
        <f>IF($L$1&lt;&gt;3,TRUNC(C93/0.7,2),TRUNC(C93*0.8,2))-0.63</f>
        <v>28.82</v>
      </c>
      <c r="E93" s="47"/>
      <c r="F93" s="31">
        <v>3601</v>
      </c>
      <c r="G93" s="61" t="s">
        <v>234</v>
      </c>
      <c r="H93" s="33">
        <v>7.52</v>
      </c>
      <c r="I93" s="35">
        <f>IF($L$1&lt;&gt;3,TRUNC(H93/0.7,2),TRUNC(H93*0.8,2))-0.23</f>
        <v>10.51</v>
      </c>
      <c r="M93" s="48"/>
      <c r="N93" s="48"/>
    </row>
    <row r="94" spans="1:14" s="23" customFormat="1" ht="12.95" customHeight="1">
      <c r="A94" s="28" t="s">
        <v>237</v>
      </c>
      <c r="B94" s="29"/>
      <c r="C94" s="30"/>
      <c r="D94" s="30"/>
      <c r="E94" s="47"/>
      <c r="F94" s="57" t="s">
        <v>236</v>
      </c>
      <c r="G94" s="58"/>
      <c r="H94" s="59"/>
      <c r="I94" s="60"/>
      <c r="M94" s="48"/>
      <c r="N94" s="48"/>
    </row>
    <row r="95" spans="1:14" s="23" customFormat="1" ht="12.95" customHeight="1">
      <c r="A95" s="31">
        <v>604</v>
      </c>
      <c r="B95" s="32" t="s">
        <v>239</v>
      </c>
      <c r="C95" s="33">
        <v>6.47</v>
      </c>
      <c r="D95" s="35">
        <f>IF($L$1&lt;&gt;3,TRUNC(C95/0.7,2),TRUNC(C95*0.8,2))-0.54</f>
        <v>8.6999999999999993</v>
      </c>
      <c r="E95" s="47"/>
      <c r="F95" s="31">
        <v>7301</v>
      </c>
      <c r="G95" s="61" t="s">
        <v>238</v>
      </c>
      <c r="H95" s="33">
        <v>7.67</v>
      </c>
      <c r="I95" s="35">
        <f>IF($L$1&lt;&gt;3,TRUNC(H95/0.7,2),TRUNC(H95*0.8,2))-0.22</f>
        <v>10.729999999999999</v>
      </c>
      <c r="L95" s="62"/>
      <c r="M95" s="48"/>
      <c r="N95" s="48"/>
    </row>
    <row r="96" spans="1:14" s="23" customFormat="1" ht="12.95" customHeight="1">
      <c r="A96" s="31">
        <v>606</v>
      </c>
      <c r="B96" s="32" t="s">
        <v>241</v>
      </c>
      <c r="C96" s="33">
        <v>83.47</v>
      </c>
      <c r="D96" s="35">
        <f>IF($L$1&lt;&gt;3,TRUNC(C96/0.7,2),TRUNC(C96*0.8,2))-7.07</f>
        <v>112.16999999999999</v>
      </c>
      <c r="E96" s="47"/>
      <c r="F96" s="31">
        <v>7302</v>
      </c>
      <c r="G96" s="61" t="s">
        <v>240</v>
      </c>
      <c r="H96" s="33">
        <v>15.35</v>
      </c>
      <c r="I96" s="35">
        <f>IF($L$1&lt;&gt;3,TRUNC(H96/0.7,2),TRUNC(H96*0.8,2))-0.46</f>
        <v>21.46</v>
      </c>
      <c r="L96" s="62"/>
      <c r="M96" s="48"/>
      <c r="N96" s="48"/>
    </row>
    <row r="97" spans="1:14" s="23" customFormat="1" ht="12.95" customHeight="1">
      <c r="A97" s="31"/>
      <c r="B97" s="32"/>
      <c r="C97" s="37" t="s">
        <v>140</v>
      </c>
      <c r="D97" s="34">
        <f>D96/200*4</f>
        <v>2.2433999999999998</v>
      </c>
      <c r="E97" s="47"/>
      <c r="L97" s="71"/>
      <c r="M97" s="48"/>
      <c r="N97" s="48"/>
    </row>
    <row r="98" spans="1:14" s="23" customFormat="1" ht="12.95" customHeight="1">
      <c r="A98" s="28" t="s">
        <v>242</v>
      </c>
      <c r="B98" s="29"/>
      <c r="C98" s="30"/>
      <c r="D98" s="30"/>
      <c r="E98" s="47"/>
      <c r="L98" s="62"/>
      <c r="M98" s="48"/>
      <c r="N98" s="48"/>
    </row>
    <row r="99" spans="1:14" s="23" customFormat="1" ht="12.95" customHeight="1">
      <c r="A99" s="31">
        <v>8005</v>
      </c>
      <c r="B99" s="32" t="s">
        <v>244</v>
      </c>
      <c r="C99" s="33">
        <v>16.82</v>
      </c>
      <c r="D99" s="35">
        <f>IF($L$1&lt;&gt;3,TRUNC(C99/0.7,2),TRUNC(C99*0.8,2))-1.41</f>
        <v>22.61</v>
      </c>
      <c r="E99" s="47"/>
      <c r="F99" s="63" t="s">
        <v>243</v>
      </c>
      <c r="G99" s="64"/>
      <c r="H99" s="64"/>
      <c r="I99" s="64"/>
      <c r="L99" s="71"/>
    </row>
    <row r="100" spans="1:14" s="23" customFormat="1" ht="12.95" customHeight="1">
      <c r="A100" s="31">
        <v>8007</v>
      </c>
      <c r="B100" s="32" t="s">
        <v>245</v>
      </c>
      <c r="C100" s="33">
        <v>15.07</v>
      </c>
      <c r="D100" s="35">
        <f>IF($L$1&lt;&gt;3,TRUNC(C100/0.7,2),TRUNC(C100*0.8,2))-1.27</f>
        <v>20.25</v>
      </c>
      <c r="E100" s="47"/>
      <c r="F100" s="52"/>
      <c r="G100" s="65"/>
      <c r="H100" s="66" t="s">
        <v>81</v>
      </c>
      <c r="I100" s="66" t="s">
        <v>82</v>
      </c>
      <c r="J100" s="68"/>
    </row>
    <row r="101" spans="1:14" s="23" customFormat="1" ht="12.95" customHeight="1">
      <c r="A101" s="31">
        <v>8009</v>
      </c>
      <c r="B101" s="32" t="s">
        <v>246</v>
      </c>
      <c r="C101" s="33">
        <v>17.760000000000002</v>
      </c>
      <c r="D101" s="35">
        <f>IF($L$1&lt;&gt;3,TRUNC(C101/0.7,2),TRUNC(C101*0.8,2))-1.5</f>
        <v>23.87</v>
      </c>
      <c r="E101" s="47"/>
      <c r="F101" s="67" t="s">
        <v>83</v>
      </c>
      <c r="G101" s="25" t="s">
        <v>84</v>
      </c>
      <c r="H101" s="26" t="s">
        <v>85</v>
      </c>
      <c r="I101" s="26" t="str">
        <f>IF($L$1&lt;&gt;3,"MÁXIMO","FUNCIONÁRIO")</f>
        <v>MÁXIMO</v>
      </c>
      <c r="K101" s="62">
        <v>0.1</v>
      </c>
      <c r="L101" s="71"/>
      <c r="M101" s="73" t="str">
        <f>"(1) Produtos não controlados"</f>
        <v>(1) Produtos não controlados</v>
      </c>
      <c r="N101"/>
    </row>
    <row r="102" spans="1:14" s="23" customFormat="1" ht="12.95" customHeight="1">
      <c r="A102" s="28" t="s">
        <v>249</v>
      </c>
      <c r="B102" s="29"/>
      <c r="C102" s="30"/>
      <c r="D102" s="30"/>
      <c r="E102" s="47"/>
      <c r="F102" s="57" t="s">
        <v>247</v>
      </c>
      <c r="G102" s="58"/>
      <c r="H102" s="59" t="s">
        <v>248</v>
      </c>
      <c r="I102" s="60">
        <v>0.1</v>
      </c>
      <c r="K102" s="62"/>
      <c r="M102" s="73" t="str">
        <f>"(2) Preço Sugestão com IPI incluido"</f>
        <v>(2) Preço Sugestão com IPI incluido</v>
      </c>
      <c r="N102"/>
    </row>
    <row r="103" spans="1:14" s="23" customFormat="1" ht="12.95" customHeight="1">
      <c r="A103" s="31">
        <v>7926</v>
      </c>
      <c r="B103" s="32" t="s">
        <v>251</v>
      </c>
      <c r="C103" s="33">
        <v>222.93</v>
      </c>
      <c r="D103" s="35">
        <f>IF($L$1&lt;&gt;3,TRUNC(C103/0.7,2),TRUNC(C103*0.8,2))-6.87</f>
        <v>311.60000000000002</v>
      </c>
      <c r="E103" s="47"/>
      <c r="F103" s="69">
        <v>9505</v>
      </c>
      <c r="G103" s="61" t="s">
        <v>250</v>
      </c>
      <c r="H103" s="33">
        <v>2.5299999999999998</v>
      </c>
      <c r="I103" s="70">
        <f>IF($L$1&lt;&gt;3,TRUNC((ROUND(H103*(1+K101),2))/0.7,2),TRUNC(TRUNC(H103*0.8,2)*(1+K101),2))</f>
        <v>3.97</v>
      </c>
      <c r="K103" s="71">
        <v>0.2</v>
      </c>
    </row>
    <row r="104" spans="1:14" s="23" customFormat="1" ht="12.95" customHeight="1">
      <c r="A104" s="31">
        <v>7913</v>
      </c>
      <c r="B104" s="32" t="s">
        <v>253</v>
      </c>
      <c r="C104" s="33">
        <v>580.29999999999995</v>
      </c>
      <c r="D104" s="35">
        <f>IF($L$1&lt;&gt;3,TRUNC(C104/0.7,2),TRUNC(C104*0.8,2))-17.9</f>
        <v>811.1</v>
      </c>
      <c r="E104" s="47"/>
      <c r="F104" s="57" t="s">
        <v>252</v>
      </c>
      <c r="G104" s="58"/>
      <c r="H104" s="59" t="s">
        <v>248</v>
      </c>
      <c r="I104" s="60">
        <v>0.2</v>
      </c>
      <c r="K104" s="62"/>
    </row>
    <row r="105" spans="1:14" s="23" customFormat="1" ht="12.95" customHeight="1">
      <c r="E105" s="47"/>
      <c r="F105" s="69">
        <v>1880</v>
      </c>
      <c r="G105" s="61" t="s">
        <v>254</v>
      </c>
      <c r="H105" s="33">
        <v>6.9</v>
      </c>
      <c r="I105" s="70">
        <f>IF($L$1&lt;&gt;3,TRUNC((ROUND(H105*(1+K103),2))/0.7,2),TRUNC(TRUNC(H105*0.8,2)*(1+K103),2))</f>
        <v>11.82</v>
      </c>
      <c r="K105" s="71">
        <v>0.2</v>
      </c>
    </row>
    <row r="106" spans="1:14" s="23" customFormat="1" ht="12.95" customHeight="1">
      <c r="E106" s="47"/>
      <c r="F106" s="57" t="s">
        <v>255</v>
      </c>
      <c r="G106" s="58"/>
      <c r="H106" s="59" t="s">
        <v>248</v>
      </c>
      <c r="I106" s="60">
        <v>0.2</v>
      </c>
    </row>
    <row r="107" spans="1:14" s="23" customFormat="1" ht="12.95" customHeight="1">
      <c r="A107" s="63" t="s">
        <v>256</v>
      </c>
      <c r="B107" s="64"/>
      <c r="C107" s="64"/>
      <c r="D107" s="64"/>
      <c r="E107" s="47"/>
      <c r="F107" s="69">
        <v>1882</v>
      </c>
      <c r="G107" s="61" t="s">
        <v>254</v>
      </c>
      <c r="H107" s="33">
        <v>6.9</v>
      </c>
      <c r="I107" s="70">
        <f>IF($L$1&lt;&gt;3,TRUNC((ROUND(H107*(1+K105),2))/0.7,2),TRUNC(TRUNC(H107*0.8,2)*(1+K105),2))</f>
        <v>11.82</v>
      </c>
      <c r="K107" s="71">
        <v>0.2</v>
      </c>
    </row>
    <row r="108" spans="1:14" s="23" customFormat="1" ht="12.95" customHeight="1">
      <c r="A108" s="52"/>
      <c r="B108" s="53"/>
      <c r="C108" s="49" t="s">
        <v>81</v>
      </c>
      <c r="D108" s="49" t="s">
        <v>82</v>
      </c>
      <c r="E108" s="47"/>
      <c r="F108" s="57" t="s">
        <v>257</v>
      </c>
      <c r="G108" s="58"/>
      <c r="H108" s="59" t="s">
        <v>248</v>
      </c>
      <c r="I108" s="60">
        <v>0.2</v>
      </c>
    </row>
    <row r="109" spans="1:14" s="23" customFormat="1" ht="12.95" customHeight="1">
      <c r="A109" s="54" t="s">
        <v>83</v>
      </c>
      <c r="B109" s="55" t="s">
        <v>84</v>
      </c>
      <c r="C109" s="56" t="s">
        <v>85</v>
      </c>
      <c r="D109" s="56" t="str">
        <f>IF($L$1&lt;&gt;3,"MÁXIMO","FUNCIONÁRIO")</f>
        <v>MÁXIMO</v>
      </c>
      <c r="E109" s="47"/>
      <c r="F109" s="72">
        <v>1867</v>
      </c>
      <c r="G109" s="38" t="s">
        <v>258</v>
      </c>
      <c r="H109" s="33">
        <v>8.06</v>
      </c>
      <c r="I109" s="70">
        <f>IF($L$1&lt;&gt;3,TRUNC((ROUND(H109*(1+K107),2))/0.7,2),TRUNC(TRUNC(H109*0.8,2)*(1+K107),2))</f>
        <v>13.81</v>
      </c>
    </row>
    <row r="110" spans="1:14" s="23" customFormat="1" ht="12.95" customHeight="1">
      <c r="A110" s="28" t="s">
        <v>273</v>
      </c>
      <c r="B110" s="40"/>
      <c r="C110" s="41"/>
      <c r="D110" s="41"/>
      <c r="E110" s="47"/>
    </row>
    <row r="111" spans="1:14" s="23" customFormat="1" ht="12.95" customHeight="1">
      <c r="A111" s="31">
        <v>5115</v>
      </c>
      <c r="B111" s="32" t="s">
        <v>259</v>
      </c>
      <c r="C111" s="33">
        <v>22.39</v>
      </c>
      <c r="D111" s="35">
        <f>IF($L$1&lt;&gt;3,TRUNC(C111/0.7,2),TRUNC(C111*0.8,2))</f>
        <v>31.98</v>
      </c>
      <c r="E111" s="47"/>
    </row>
    <row r="112" spans="1:14" s="23" customFormat="1" ht="12.95" customHeight="1">
      <c r="A112" s="31">
        <v>5116</v>
      </c>
      <c r="B112" s="32" t="s">
        <v>261</v>
      </c>
      <c r="C112" s="33">
        <v>25.15</v>
      </c>
      <c r="D112" s="35">
        <f>IF($L$1&lt;&gt;3,TRUNC(C112/0.7,2),TRUNC(C112*0.8,2))-2.12</f>
        <v>33.800000000000004</v>
      </c>
      <c r="E112" s="47"/>
      <c r="F112" s="63" t="s">
        <v>260</v>
      </c>
      <c r="G112" s="64"/>
      <c r="H112" s="64"/>
      <c r="I112" s="64"/>
    </row>
    <row r="113" spans="1:12" s="23" customFormat="1" ht="12.95" customHeight="1">
      <c r="A113" s="28" t="s">
        <v>274</v>
      </c>
      <c r="B113" s="29"/>
      <c r="C113" s="30"/>
      <c r="D113" s="30"/>
      <c r="E113" s="47"/>
      <c r="F113" s="52"/>
      <c r="G113" s="53"/>
      <c r="H113" s="49" t="s">
        <v>81</v>
      </c>
      <c r="I113" s="49" t="s">
        <v>82</v>
      </c>
    </row>
    <row r="114" spans="1:12" s="23" customFormat="1" ht="12.95" customHeight="1">
      <c r="A114" s="31">
        <v>4606</v>
      </c>
      <c r="B114" s="32" t="s">
        <v>263</v>
      </c>
      <c r="C114" s="33">
        <v>7.65</v>
      </c>
      <c r="D114" s="35">
        <f>IF($L$1&lt;&gt;3,TRUNC(C114/0.7,2),TRUNC(C114*0.8,2))-0.22</f>
        <v>10.7</v>
      </c>
      <c r="E114" s="47"/>
      <c r="F114" s="54" t="s">
        <v>83</v>
      </c>
      <c r="G114" s="55" t="s">
        <v>84</v>
      </c>
      <c r="H114" s="56" t="s">
        <v>85</v>
      </c>
      <c r="I114" s="56" t="str">
        <f>IF($L$1&lt;&gt;3,"MÁXIMO","FUNCIONÁRIO")</f>
        <v>MÁXIMO</v>
      </c>
    </row>
    <row r="115" spans="1:12" s="68" customFormat="1" ht="12.95" customHeight="1">
      <c r="A115" s="31">
        <v>4619</v>
      </c>
      <c r="B115" s="32" t="s">
        <v>264</v>
      </c>
      <c r="C115" s="33">
        <v>10.97</v>
      </c>
      <c r="D115" s="35">
        <f>IF($L$1&lt;&gt;3,TRUNC(C115/0.7,2),TRUNC(C115*0.8,2))-0.33</f>
        <v>15.34</v>
      </c>
      <c r="E115" s="47"/>
      <c r="F115" s="28" t="s">
        <v>242</v>
      </c>
      <c r="G115" s="40"/>
      <c r="H115" s="41"/>
      <c r="I115" s="41"/>
      <c r="L115" s="23"/>
    </row>
    <row r="116" spans="1:12" s="23" customFormat="1" ht="12.95" customHeight="1">
      <c r="A116" s="68"/>
      <c r="B116" s="68"/>
      <c r="C116" s="68"/>
      <c r="D116" s="68"/>
      <c r="F116" s="31">
        <v>8001</v>
      </c>
      <c r="G116" s="32" t="s">
        <v>275</v>
      </c>
      <c r="H116" s="33">
        <v>10.23</v>
      </c>
      <c r="I116" s="35">
        <f>IF($L$1&lt;&gt;3,TRUNC(H116/0.7,2),TRUNC(H116*0.8,2))</f>
        <v>14.61</v>
      </c>
    </row>
    <row r="117" spans="1:12" s="23" customFormat="1" ht="12.95" customHeight="1">
      <c r="A117" s="63" t="s">
        <v>265</v>
      </c>
      <c r="B117" s="64"/>
      <c r="C117" s="64"/>
      <c r="D117" s="64"/>
      <c r="F117" s="31">
        <v>8002</v>
      </c>
      <c r="G117" s="32" t="s">
        <v>276</v>
      </c>
      <c r="H117" s="33">
        <v>11.669</v>
      </c>
      <c r="I117" s="35">
        <f>IF($L$1&lt;&gt;3,TRUNC(H117/0.7,2),TRUNC(H117*0.8,2))</f>
        <v>16.670000000000002</v>
      </c>
    </row>
    <row r="118" spans="1:12" s="23" customFormat="1" ht="12.95" customHeight="1">
      <c r="A118" s="52"/>
      <c r="B118" s="53"/>
      <c r="C118" s="49" t="s">
        <v>81</v>
      </c>
      <c r="D118" s="49" t="s">
        <v>82</v>
      </c>
      <c r="E118" s="47"/>
      <c r="F118" s="31">
        <v>8003</v>
      </c>
      <c r="G118" s="32" t="s">
        <v>277</v>
      </c>
      <c r="H118" s="34">
        <v>9.6739999999999995</v>
      </c>
      <c r="I118" s="35">
        <f>IF($L$1&lt;&gt;3,TRUNC(H118/0.7,2),TRUNC(H118*0.8,2))</f>
        <v>13.82</v>
      </c>
    </row>
    <row r="119" spans="1:12" s="23" customFormat="1">
      <c r="A119" s="54" t="s">
        <v>83</v>
      </c>
      <c r="B119" s="55" t="s">
        <v>84</v>
      </c>
      <c r="C119" s="56" t="s">
        <v>85</v>
      </c>
      <c r="D119" s="56" t="str">
        <f>IF($L$1&lt;&gt;3,"MÁXIMO","FUNCIONÁRIO")</f>
        <v>MÁXIMO</v>
      </c>
      <c r="E119" s="47"/>
      <c r="F119" s="31">
        <v>8004</v>
      </c>
      <c r="G119" s="32" t="s">
        <v>278</v>
      </c>
      <c r="H119" s="33">
        <v>10.003</v>
      </c>
      <c r="I119" s="35">
        <f>IF($L$1&lt;&gt;3,TRUNC(H119/0.7,2),TRUNC(H119*0.8,2))</f>
        <v>14.29</v>
      </c>
    </row>
    <row r="120" spans="1:12" s="23" customFormat="1" ht="15">
      <c r="A120" s="28" t="s">
        <v>266</v>
      </c>
      <c r="B120" s="29"/>
      <c r="C120" s="30"/>
      <c r="D120" s="30"/>
      <c r="E120" s="47"/>
    </row>
    <row r="121" spans="1:12" s="23" customFormat="1">
      <c r="A121" s="31">
        <v>1900</v>
      </c>
      <c r="B121" s="32" t="s">
        <v>267</v>
      </c>
      <c r="C121" s="33">
        <v>21.1</v>
      </c>
      <c r="D121" s="35">
        <v>28.36</v>
      </c>
      <c r="E121" s="47"/>
      <c r="F121" s="73" t="str">
        <f>"(1) Produtos não controlados"</f>
        <v>(1) Produtos não controlados</v>
      </c>
      <c r="G121" s="32"/>
    </row>
    <row r="122" spans="1:12" s="23" customFormat="1">
      <c r="A122" s="31">
        <v>1901</v>
      </c>
      <c r="B122" s="32" t="s">
        <v>268</v>
      </c>
      <c r="C122" s="33">
        <v>38.979999999999997</v>
      </c>
      <c r="D122" s="35">
        <v>52.39</v>
      </c>
      <c r="E122" s="47"/>
      <c r="F122" s="73" t="str">
        <f>"(2) Preço Sugestão com IPI incluido"</f>
        <v>(2) Preço Sugestão com IPI incluido</v>
      </c>
      <c r="G122" s="2"/>
    </row>
    <row r="123" spans="1:12" s="23" customFormat="1">
      <c r="E123" s="47"/>
      <c r="F123"/>
      <c r="G123"/>
      <c r="H123"/>
      <c r="I123"/>
    </row>
    <row r="124" spans="1:12" s="23" customFormat="1">
      <c r="E124" s="47"/>
      <c r="F124"/>
      <c r="G124"/>
      <c r="H124"/>
      <c r="I124"/>
    </row>
    <row r="125" spans="1:12" s="23" customFormat="1">
      <c r="A125" s="74" t="s">
        <v>269</v>
      </c>
      <c r="B125"/>
      <c r="C125"/>
      <c r="D125"/>
      <c r="E125" s="47"/>
      <c r="F125"/>
      <c r="G125"/>
      <c r="H125"/>
      <c r="I125"/>
      <c r="K125" s="71"/>
    </row>
    <row r="126" spans="1:12" s="23" customFormat="1" ht="15">
      <c r="A126" s="75" t="s">
        <v>271</v>
      </c>
      <c r="B126" s="2"/>
      <c r="C126" s="76"/>
      <c r="D126" s="77"/>
      <c r="E126" s="47"/>
      <c r="F126"/>
      <c r="G126"/>
      <c r="H126"/>
      <c r="I126"/>
      <c r="K126" s="71"/>
    </row>
    <row r="127" spans="1:12" s="23" customFormat="1" ht="15" customHeight="1">
      <c r="E127" s="47"/>
      <c r="F127"/>
      <c r="G127"/>
      <c r="H127"/>
      <c r="I127"/>
      <c r="K127" s="62"/>
    </row>
    <row r="128" spans="1:12" s="23" customFormat="1">
      <c r="E128" s="47"/>
      <c r="F128"/>
      <c r="G128"/>
      <c r="H128"/>
      <c r="I128"/>
      <c r="K128" s="62"/>
    </row>
    <row r="129" spans="1:11" s="23" customFormat="1" ht="12.95" customHeight="1">
      <c r="E129" s="47"/>
      <c r="F129"/>
      <c r="G129"/>
      <c r="H129"/>
      <c r="I129"/>
      <c r="K129" s="71"/>
    </row>
    <row r="130" spans="1:11" s="23" customFormat="1">
      <c r="E130" s="47"/>
      <c r="F130"/>
      <c r="G130"/>
      <c r="H130"/>
      <c r="I130"/>
      <c r="K130" s="62"/>
    </row>
    <row r="131" spans="1:11" s="23" customFormat="1" ht="12.95" customHeight="1">
      <c r="E131" s="84"/>
      <c r="F131"/>
      <c r="G131"/>
      <c r="H131"/>
      <c r="I131"/>
      <c r="K131" s="71"/>
    </row>
    <row r="132" spans="1:11" s="23" customFormat="1" ht="15" customHeight="1">
      <c r="A132"/>
      <c r="B132"/>
      <c r="C132"/>
      <c r="D132"/>
      <c r="E132"/>
      <c r="F132"/>
      <c r="G132"/>
      <c r="H132"/>
      <c r="I132"/>
    </row>
    <row r="133" spans="1:11" s="23" customFormat="1">
      <c r="A133" s="74"/>
      <c r="B133"/>
      <c r="C133"/>
      <c r="D133"/>
      <c r="E133" s="47"/>
      <c r="F133"/>
      <c r="G133"/>
      <c r="H133"/>
      <c r="I133"/>
      <c r="K133" s="71"/>
    </row>
    <row r="134" spans="1:11" s="23" customFormat="1" ht="15">
      <c r="A134" s="75"/>
      <c r="B134" s="2"/>
      <c r="C134" s="76"/>
      <c r="D134" s="77"/>
      <c r="E134" s="47"/>
      <c r="F134"/>
      <c r="G134"/>
      <c r="H134"/>
      <c r="I134"/>
      <c r="K134" s="71"/>
    </row>
    <row r="135" spans="1:11" s="23" customFormat="1">
      <c r="B135" s="2"/>
      <c r="C135" s="76"/>
      <c r="D135" s="76"/>
      <c r="E135" s="47"/>
      <c r="F135"/>
      <c r="G135"/>
      <c r="H135"/>
      <c r="I135"/>
      <c r="K135" s="71"/>
    </row>
    <row r="136" spans="1:11" s="23" customFormat="1">
      <c r="A136"/>
      <c r="B136"/>
      <c r="C136"/>
      <c r="D136"/>
      <c r="E136" s="47"/>
      <c r="F136"/>
      <c r="G136"/>
      <c r="H136"/>
      <c r="I136"/>
    </row>
    <row r="137" spans="1:11" s="23" customFormat="1" ht="9" customHeight="1">
      <c r="A137"/>
      <c r="B137"/>
      <c r="C137"/>
      <c r="D137"/>
      <c r="E137"/>
      <c r="F137"/>
      <c r="G137"/>
      <c r="H137"/>
      <c r="I137"/>
    </row>
    <row r="138" spans="1:11" s="23" customFormat="1">
      <c r="A138"/>
      <c r="B138"/>
      <c r="C138"/>
      <c r="D138"/>
      <c r="E138"/>
      <c r="F138"/>
      <c r="G138"/>
      <c r="H138"/>
      <c r="I138"/>
    </row>
    <row r="139" spans="1:11">
      <c r="A139" s="31"/>
      <c r="B139" s="32"/>
      <c r="C139" s="35"/>
      <c r="D139" s="35"/>
      <c r="F139" s="23"/>
      <c r="G139" s="23"/>
      <c r="H139" s="23"/>
      <c r="I139" s="23"/>
      <c r="J139" s="68"/>
      <c r="K139" s="68"/>
    </row>
    <row r="140" spans="1:11">
      <c r="A140"/>
      <c r="B140"/>
      <c r="C140"/>
      <c r="D140"/>
      <c r="F140" s="23"/>
      <c r="G140" s="23"/>
      <c r="H140" s="23"/>
      <c r="I140" s="23"/>
      <c r="J140" s="23"/>
      <c r="K140" s="23"/>
    </row>
    <row r="141" spans="1:11">
      <c r="A141"/>
      <c r="B141"/>
      <c r="C141"/>
      <c r="D141"/>
      <c r="F141" s="68"/>
      <c r="G141" s="68"/>
      <c r="H141" s="68"/>
      <c r="I141" s="68"/>
      <c r="J141" s="23"/>
      <c r="K141" s="23"/>
    </row>
    <row r="142" spans="1:11">
      <c r="A142" s="31"/>
      <c r="B142" s="32"/>
      <c r="C142" s="35"/>
      <c r="D142" s="35"/>
      <c r="F142" s="23"/>
      <c r="G142" s="23"/>
      <c r="H142" s="23"/>
      <c r="I142" s="23"/>
      <c r="J142" s="23"/>
      <c r="K142" s="23"/>
    </row>
    <row r="143" spans="1:11" ht="15">
      <c r="A143" s="85"/>
      <c r="C143" s="76"/>
      <c r="D143" s="77"/>
      <c r="F143" s="23"/>
      <c r="G143" s="23"/>
      <c r="H143" s="23"/>
      <c r="I143" s="23"/>
      <c r="J143" s="23"/>
      <c r="K143" s="23"/>
    </row>
    <row r="144" spans="1:11">
      <c r="A144" s="86"/>
      <c r="C144" s="76"/>
      <c r="D144" s="76"/>
      <c r="F144" s="23"/>
      <c r="G144" s="23"/>
      <c r="H144" s="23"/>
      <c r="I144" s="23"/>
      <c r="J144" s="23"/>
      <c r="K144" s="23"/>
    </row>
    <row r="145" spans="1:11">
      <c r="A145" s="31"/>
      <c r="B145" s="32"/>
      <c r="C145" s="35"/>
      <c r="D145" s="35"/>
      <c r="F145" s="23"/>
      <c r="G145" s="23"/>
      <c r="H145" s="23"/>
      <c r="I145" s="23"/>
      <c r="J145" s="23"/>
      <c r="K145" s="23"/>
    </row>
    <row r="146" spans="1:11">
      <c r="A146" s="31"/>
      <c r="B146" s="32"/>
      <c r="C146" s="35"/>
      <c r="D146" s="35"/>
      <c r="F146" s="23"/>
      <c r="G146" s="23"/>
      <c r="H146" s="23"/>
      <c r="I146" s="23"/>
      <c r="J146" s="68"/>
      <c r="K146" s="71"/>
    </row>
    <row r="147" spans="1:11">
      <c r="A147"/>
      <c r="B147"/>
      <c r="C147"/>
      <c r="D147"/>
      <c r="F147" s="23"/>
      <c r="G147" s="23"/>
      <c r="H147" s="23"/>
      <c r="I147" s="23"/>
      <c r="J147" s="68"/>
      <c r="K147" s="71"/>
    </row>
    <row r="148" spans="1:11">
      <c r="A148"/>
      <c r="B148"/>
      <c r="C148"/>
      <c r="D148"/>
      <c r="F148" s="23"/>
      <c r="G148" s="23"/>
      <c r="H148" s="23"/>
      <c r="I148" s="23"/>
    </row>
    <row r="149" spans="1:11">
      <c r="A149"/>
      <c r="B149"/>
      <c r="C149"/>
      <c r="D149"/>
      <c r="F149" s="23"/>
      <c r="G149" s="23"/>
      <c r="H149" s="23"/>
      <c r="I149" s="23"/>
    </row>
    <row r="150" spans="1:11">
      <c r="A150"/>
      <c r="B150"/>
      <c r="C150"/>
      <c r="D150"/>
      <c r="F150" s="23"/>
      <c r="G150" s="23"/>
      <c r="H150" s="23"/>
      <c r="I150" s="23"/>
    </row>
    <row r="151" spans="1:11">
      <c r="A151"/>
      <c r="B151"/>
      <c r="C151"/>
      <c r="D151"/>
      <c r="F151" s="23"/>
      <c r="G151" s="23"/>
      <c r="H151" s="23"/>
      <c r="I151" s="23"/>
    </row>
    <row r="152" spans="1:11">
      <c r="F152" s="23"/>
      <c r="G152" s="23"/>
      <c r="H152" s="23"/>
      <c r="I152" s="23"/>
    </row>
    <row r="153" spans="1:11">
      <c r="F153" s="23"/>
      <c r="G153" s="23"/>
      <c r="H153" s="23"/>
      <c r="I153" s="23"/>
    </row>
    <row r="154" spans="1:11">
      <c r="F154" s="23"/>
      <c r="G154" s="23"/>
      <c r="H154" s="23"/>
      <c r="I154" s="23"/>
      <c r="J154" s="68"/>
      <c r="K154" s="71"/>
    </row>
    <row r="155" spans="1:11">
      <c r="F155" s="23"/>
      <c r="G155" s="23"/>
      <c r="H155" s="23"/>
      <c r="I155" s="23"/>
      <c r="J155" s="23"/>
      <c r="K155" s="23"/>
    </row>
    <row r="156" spans="1:11">
      <c r="F156" s="23"/>
      <c r="G156" s="23"/>
      <c r="H156" s="23"/>
      <c r="I156" s="23"/>
      <c r="J156" s="23"/>
      <c r="K156" s="23"/>
    </row>
    <row r="157" spans="1:11">
      <c r="F157" s="23"/>
      <c r="G157" s="23"/>
      <c r="H157" s="23"/>
      <c r="I157" s="23"/>
      <c r="K157" s="23"/>
    </row>
    <row r="158" spans="1:11">
      <c r="F158" s="23"/>
      <c r="G158" s="23"/>
      <c r="H158" s="23"/>
      <c r="I158" s="23"/>
      <c r="K158" s="23"/>
    </row>
    <row r="159" spans="1:11">
      <c r="F159" s="23"/>
      <c r="G159" s="23"/>
      <c r="H159" s="23"/>
      <c r="I159" s="23"/>
    </row>
    <row r="160" spans="1:11">
      <c r="F160" s="23"/>
      <c r="G160" s="23"/>
      <c r="H160" s="23"/>
      <c r="I160" s="23"/>
    </row>
    <row r="161" spans="6:9">
      <c r="F161" s="23"/>
      <c r="G161" s="23"/>
      <c r="H161" s="23"/>
      <c r="I161" s="23"/>
    </row>
    <row r="162" spans="6:9">
      <c r="F162" s="73"/>
      <c r="H162"/>
      <c r="I162"/>
    </row>
    <row r="163" spans="6:9">
      <c r="F163"/>
      <c r="H163"/>
      <c r="I163"/>
    </row>
    <row r="164" spans="6:9">
      <c r="H164"/>
      <c r="I164"/>
    </row>
    <row r="165" spans="6:9">
      <c r="H165"/>
      <c r="I165"/>
    </row>
    <row r="166" spans="6:9">
      <c r="F166"/>
      <c r="H166"/>
      <c r="I166"/>
    </row>
    <row r="167" spans="6:9">
      <c r="F167"/>
      <c r="I167"/>
    </row>
    <row r="168" spans="6:9">
      <c r="F168"/>
    </row>
    <row r="169" spans="6:9">
      <c r="F169"/>
      <c r="H169"/>
      <c r="I169"/>
    </row>
    <row r="170" spans="6:9">
      <c r="F170"/>
      <c r="H170" s="87"/>
      <c r="I170" s="70"/>
    </row>
    <row r="171" spans="6:9">
      <c r="F171"/>
      <c r="H171" s="87"/>
      <c r="I171" s="70"/>
    </row>
    <row r="172" spans="6:9">
      <c r="F172"/>
      <c r="H172"/>
      <c r="I172"/>
    </row>
    <row r="173" spans="6:9">
      <c r="I173"/>
    </row>
    <row r="175" spans="6:9">
      <c r="F175"/>
      <c r="H175"/>
      <c r="I175"/>
    </row>
    <row r="176" spans="6:9">
      <c r="F176"/>
      <c r="H176"/>
      <c r="I176"/>
    </row>
    <row r="177" spans="6:9">
      <c r="F177"/>
      <c r="H177"/>
      <c r="I177"/>
    </row>
    <row r="178" spans="6:9">
      <c r="F178"/>
      <c r="H178" s="87"/>
      <c r="I178" s="70"/>
    </row>
    <row r="179" spans="6:9">
      <c r="F179"/>
      <c r="H179"/>
      <c r="I179"/>
    </row>
    <row r="180" spans="6:9">
      <c r="F180"/>
      <c r="H180"/>
      <c r="I180"/>
    </row>
    <row r="181" spans="6:9">
      <c r="F181"/>
      <c r="H181"/>
      <c r="I181"/>
    </row>
  </sheetData>
  <phoneticPr fontId="8" type="noConversion"/>
  <pageMargins left="0" right="0" top="0.59055118110236227" bottom="0" header="0.59055118110236227" footer="0.19685039370078741"/>
  <pageSetup paperSize="9" scale="73" orientation="portrait" horizontalDpi="300" verticalDpi="300" r:id="rId1"/>
  <headerFooter alignWithMargins="0">
    <oddFooter>&amp;CPágina &amp;P/&amp;N</oddFooter>
  </headerFooter>
  <rowBreaks count="1" manualBreakCount="1">
    <brk id="72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Button 7">
              <controlPr defaultSize="0" print="0" autoFill="0" autoLine="0" autoPict="0" macro="[3]!Macro">
                <anchor moveWithCells="1">
                  <from>
                    <xdr:col>9</xdr:col>
                    <xdr:colOff>28575</xdr:colOff>
                    <xdr:row>0</xdr:row>
                    <xdr:rowOff>28575</xdr:rowOff>
                  </from>
                  <to>
                    <xdr:col>9</xdr:col>
                    <xdr:colOff>695325</xdr:colOff>
                    <xdr:row>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4"/>
  <sheetViews>
    <sheetView topLeftCell="A98" zoomScale="75" workbookViewId="0">
      <selection activeCell="C122" sqref="C122:D123"/>
    </sheetView>
  </sheetViews>
  <sheetFormatPr defaultColWidth="11.42578125" defaultRowHeight="12.75"/>
  <cols>
    <col min="1" max="1" width="6.28515625" style="78" customWidth="1"/>
    <col min="2" max="2" width="41.85546875" style="2" customWidth="1"/>
    <col min="3" max="4" width="10.42578125" style="79" customWidth="1"/>
    <col min="5" max="5" width="2.5703125" customWidth="1"/>
    <col min="6" max="6" width="6.28515625" style="80" customWidth="1"/>
    <col min="7" max="7" width="37.7109375" customWidth="1"/>
    <col min="8" max="8" width="10.42578125" style="81" customWidth="1"/>
    <col min="9" max="9" width="11" style="81" customWidth="1"/>
  </cols>
  <sheetData>
    <row r="1" spans="1:12" ht="26.25">
      <c r="A1" s="1"/>
      <c r="C1" s="3" t="str">
        <f>IF($L$1&lt;&gt;3,"LISTA DE PREÇOS EM REAIS","PREÇOS  A  FUNCIONÁRIOS")</f>
        <v>LISTA DE PREÇOS EM REAIS</v>
      </c>
      <c r="D1" s="4" t="s">
        <v>279</v>
      </c>
      <c r="E1" s="5"/>
      <c r="F1" s="3"/>
      <c r="G1" s="6"/>
      <c r="H1" s="7"/>
      <c r="I1" s="8" t="s">
        <v>79</v>
      </c>
      <c r="J1" t="s">
        <v>80</v>
      </c>
      <c r="L1" s="9">
        <v>4</v>
      </c>
    </row>
    <row r="2" spans="1:12" ht="21.75" customHeight="1">
      <c r="A2" s="10"/>
      <c r="B2" s="11"/>
      <c r="C2" s="12"/>
      <c r="D2" s="12"/>
      <c r="E2" s="13"/>
      <c r="F2" s="14"/>
      <c r="G2" s="11"/>
      <c r="H2" s="15"/>
      <c r="I2" s="16"/>
    </row>
    <row r="3" spans="1:12" s="23" customFormat="1">
      <c r="A3" s="17"/>
      <c r="B3" s="18"/>
      <c r="C3" s="19" t="s">
        <v>81</v>
      </c>
      <c r="D3" s="19" t="s">
        <v>82</v>
      </c>
      <c r="E3" s="20"/>
      <c r="F3" s="21"/>
      <c r="G3" s="52"/>
      <c r="H3" s="22" t="s">
        <v>81</v>
      </c>
      <c r="I3" s="22" t="s">
        <v>82</v>
      </c>
    </row>
    <row r="4" spans="1:12" s="23" customFormat="1">
      <c r="A4" s="24" t="s">
        <v>83</v>
      </c>
      <c r="B4" s="25" t="s">
        <v>84</v>
      </c>
      <c r="C4" s="26" t="s">
        <v>85</v>
      </c>
      <c r="D4" s="26" t="str">
        <f>IF($L$1&lt;&gt;3,"MÁXIMO","FUNCIONÁRIO")</f>
        <v>MÁXIMO</v>
      </c>
      <c r="E4" s="20"/>
      <c r="F4" s="27" t="s">
        <v>83</v>
      </c>
      <c r="G4" s="82" t="s">
        <v>84</v>
      </c>
      <c r="H4" s="22" t="s">
        <v>85</v>
      </c>
      <c r="I4" s="22" t="str">
        <f>IF($L$1&lt;&gt;3,"MÁXIMO","FUNCIONÁRIO")</f>
        <v>MÁXIMO</v>
      </c>
    </row>
    <row r="5" spans="1:12" s="23" customFormat="1" ht="15">
      <c r="A5" s="28" t="s">
        <v>86</v>
      </c>
      <c r="B5" s="29"/>
      <c r="C5" s="30"/>
      <c r="D5" s="30"/>
      <c r="E5" s="20"/>
      <c r="F5" s="28" t="s">
        <v>87</v>
      </c>
      <c r="G5" s="29"/>
      <c r="H5" s="30"/>
      <c r="I5" s="30"/>
    </row>
    <row r="6" spans="1:12" s="23" customFormat="1" ht="15" customHeight="1">
      <c r="A6" s="31">
        <v>101</v>
      </c>
      <c r="B6" s="32" t="s">
        <v>88</v>
      </c>
      <c r="C6" s="33">
        <v>16.309999999999999</v>
      </c>
      <c r="D6" s="34">
        <f>IF($L$1&lt;&gt;3,TRUNC(C6/0.7,2),TRUNC(C6*0.8,2))-0.5</f>
        <v>22.8</v>
      </c>
      <c r="E6" s="20" t="s">
        <v>80</v>
      </c>
      <c r="F6" s="31">
        <v>2817</v>
      </c>
      <c r="G6" s="32" t="s">
        <v>89</v>
      </c>
      <c r="H6" s="33">
        <v>7.08</v>
      </c>
      <c r="I6" s="34">
        <f>IF($L$1&lt;&gt;3,TRUNC(H6/0.7,2),TRUNC(H6*0.8,2))-0.58</f>
        <v>9.5299999999999994</v>
      </c>
      <c r="J6" s="23" t="s">
        <v>80</v>
      </c>
    </row>
    <row r="7" spans="1:12" s="23" customFormat="1">
      <c r="A7" s="31">
        <v>153</v>
      </c>
      <c r="B7" s="32" t="s">
        <v>90</v>
      </c>
      <c r="C7" s="33">
        <v>8.09</v>
      </c>
      <c r="D7" s="34">
        <f>IF($L$1&lt;&gt;3,TRUNC(C7/0.7,2),TRUNC(C7*0.8,2))-0.24</f>
        <v>11.31</v>
      </c>
      <c r="E7" s="20"/>
      <c r="F7" s="31">
        <v>2821</v>
      </c>
      <c r="G7" s="32" t="s">
        <v>91</v>
      </c>
      <c r="H7" s="33">
        <v>14.45</v>
      </c>
      <c r="I7" s="34">
        <f>IF($L$1&lt;&gt;3,TRUNC(H7/0.7,2),TRUNC(H7*0.8,2))-1.17</f>
        <v>19.47</v>
      </c>
    </row>
    <row r="8" spans="1:12" s="23" customFormat="1" ht="15">
      <c r="A8" s="28" t="s">
        <v>92</v>
      </c>
      <c r="B8" s="29"/>
      <c r="C8" s="30"/>
      <c r="D8" s="30"/>
      <c r="E8" s="20"/>
      <c r="F8" s="28" t="s">
        <v>93</v>
      </c>
      <c r="G8" s="29"/>
      <c r="H8" s="30"/>
      <c r="I8" s="30"/>
    </row>
    <row r="9" spans="1:12" s="23" customFormat="1">
      <c r="A9" s="31">
        <v>3551</v>
      </c>
      <c r="B9" s="32" t="s">
        <v>94</v>
      </c>
      <c r="C9" s="33">
        <v>3.22</v>
      </c>
      <c r="D9" s="34">
        <f>IF($L$1&lt;&gt;3,TRUNC(C9/0.7,2),TRUNC(C9*0.8,2))-0.1</f>
        <v>4.5</v>
      </c>
      <c r="E9" s="20"/>
      <c r="F9" s="31">
        <v>1210</v>
      </c>
      <c r="G9" s="32" t="s">
        <v>95</v>
      </c>
      <c r="H9" s="33">
        <v>17.940000000000001</v>
      </c>
      <c r="I9" s="34">
        <f>IF($L$1&lt;&gt;3,TRUNC(H9/0.7,2),TRUNC(H9*0.8,2))-0.54</f>
        <v>25.080000000000002</v>
      </c>
    </row>
    <row r="10" spans="1:12" s="23" customFormat="1">
      <c r="A10" s="31">
        <v>3564</v>
      </c>
      <c r="B10" s="32" t="s">
        <v>96</v>
      </c>
      <c r="C10" s="33">
        <v>32.11</v>
      </c>
      <c r="D10" s="34">
        <f>IF($L$1&lt;&gt;3,TRUNC(C10/0.7,2),TRUNC(C10*0.8,2))-0.99</f>
        <v>44.879999999999995</v>
      </c>
      <c r="E10" s="20"/>
      <c r="F10" s="31">
        <v>1211</v>
      </c>
      <c r="G10" s="32" t="s">
        <v>97</v>
      </c>
      <c r="H10" s="33">
        <v>7.27</v>
      </c>
      <c r="I10" s="34">
        <f>IF($L$1&lt;&gt;3,TRUNC(H10/0.7,2),TRUNC(H10*0.8,2))-0.22</f>
        <v>10.16</v>
      </c>
    </row>
    <row r="11" spans="1:12" s="23" customFormat="1">
      <c r="A11" s="31">
        <v>3508</v>
      </c>
      <c r="B11" s="32" t="s">
        <v>98</v>
      </c>
      <c r="C11" s="33">
        <v>5.93</v>
      </c>
      <c r="D11" s="34">
        <f>IF($L$1&lt;&gt;3,TRUNC(C11/0.7,2),TRUNC(C11*0.8,2))-0.18</f>
        <v>8.2900000000000009</v>
      </c>
      <c r="E11" s="20"/>
      <c r="F11" s="31">
        <v>1212</v>
      </c>
      <c r="G11" s="32" t="s">
        <v>99</v>
      </c>
      <c r="H11" s="33">
        <v>9.09</v>
      </c>
      <c r="I11" s="34">
        <f>IF($L$1&lt;&gt;3,TRUNC(H11/0.7,2),TRUNC(H11*0.8,2))-0.27</f>
        <v>12.71</v>
      </c>
    </row>
    <row r="12" spans="1:12" s="23" customFormat="1" ht="15">
      <c r="A12" s="31">
        <v>3536</v>
      </c>
      <c r="B12" s="32" t="s">
        <v>100</v>
      </c>
      <c r="C12" s="33">
        <v>2.74</v>
      </c>
      <c r="D12" s="34">
        <f>IF($L$1&lt;&gt;3,TRUNC(C12/0.7,2),TRUNC(C12*0.8,2))-0.08</f>
        <v>3.83</v>
      </c>
      <c r="E12" s="20"/>
      <c r="F12" s="28" t="s">
        <v>101</v>
      </c>
      <c r="G12" s="29"/>
      <c r="H12" s="30"/>
      <c r="I12" s="30"/>
    </row>
    <row r="13" spans="1:12" s="23" customFormat="1" ht="15">
      <c r="A13" s="28" t="s">
        <v>102</v>
      </c>
      <c r="B13" s="29"/>
      <c r="C13" s="30"/>
      <c r="D13" s="30"/>
      <c r="E13" s="20"/>
      <c r="F13" s="31">
        <v>2900</v>
      </c>
      <c r="G13" s="32" t="s">
        <v>103</v>
      </c>
      <c r="H13" s="33">
        <v>7.58</v>
      </c>
      <c r="I13" s="34">
        <f>IF($L$1&lt;&gt;3,TRUNC(H13/0.7,2),TRUNC(H13*0.8,2))-0.23</f>
        <v>10.59</v>
      </c>
    </row>
    <row r="14" spans="1:12" s="23" customFormat="1">
      <c r="A14" s="31">
        <v>261</v>
      </c>
      <c r="B14" s="32" t="s">
        <v>104</v>
      </c>
      <c r="C14" s="33">
        <v>11.73</v>
      </c>
      <c r="D14" s="34">
        <f>IF($L$1&lt;&gt;3,TRUNC(C14/0.7,2),TRUNC(C14*0.8,2))-0.36</f>
        <v>16.39</v>
      </c>
      <c r="E14" s="20"/>
      <c r="F14" s="31">
        <v>2901</v>
      </c>
      <c r="G14" s="32" t="s">
        <v>105</v>
      </c>
      <c r="H14" s="33">
        <v>8.66</v>
      </c>
      <c r="I14" s="34">
        <f>IF($L$1&lt;&gt;3,TRUNC(H14/0.7,2),TRUNC(H14*0.8,2))-0.26</f>
        <v>12.11</v>
      </c>
    </row>
    <row r="15" spans="1:12" s="23" customFormat="1">
      <c r="A15" s="31">
        <v>272</v>
      </c>
      <c r="B15" s="32" t="s">
        <v>106</v>
      </c>
      <c r="C15" s="33">
        <v>12.29</v>
      </c>
      <c r="D15" s="34">
        <f>IF($L$1&lt;&gt;3,TRUNC(C15/0.7,2),TRUNC(C15*0.8,2))-0.37</f>
        <v>17.18</v>
      </c>
      <c r="E15" s="20"/>
      <c r="F15" s="31">
        <v>2902</v>
      </c>
      <c r="G15" s="32" t="s">
        <v>107</v>
      </c>
      <c r="H15" s="33">
        <v>9.56</v>
      </c>
      <c r="I15" s="34">
        <f>IF($L$1&lt;&gt;3,TRUNC(H15/0.7,2),TRUNC(H15*0.8,2))-0.29</f>
        <v>13.360000000000001</v>
      </c>
    </row>
    <row r="16" spans="1:12" s="23" customFormat="1" ht="15">
      <c r="A16" s="28" t="s">
        <v>108</v>
      </c>
      <c r="B16" s="29"/>
      <c r="C16" s="30"/>
      <c r="D16" s="30"/>
      <c r="E16" s="20"/>
      <c r="F16" s="31">
        <v>2903</v>
      </c>
      <c r="G16" s="32" t="s">
        <v>109</v>
      </c>
      <c r="H16" s="33">
        <v>9.8800000000000008</v>
      </c>
      <c r="I16" s="34">
        <f>IF($L$1&lt;&gt;3,TRUNC(H16/0.7,2),TRUNC(H16*0.8,2))-0.3</f>
        <v>13.809999999999999</v>
      </c>
    </row>
    <row r="17" spans="1:9" s="23" customFormat="1">
      <c r="A17" s="31">
        <v>664</v>
      </c>
      <c r="B17" s="32" t="s">
        <v>110</v>
      </c>
      <c r="C17" s="33">
        <v>15.87</v>
      </c>
      <c r="D17" s="34">
        <f>IF($L$1&lt;&gt;3,TRUNC(C17/0.7,2),TRUNC(C17*0.8,2))-1.29</f>
        <v>21.380000000000003</v>
      </c>
      <c r="E17" s="20"/>
      <c r="F17" s="31">
        <v>2905</v>
      </c>
      <c r="G17" s="32" t="s">
        <v>111</v>
      </c>
      <c r="H17" s="33">
        <v>11.04</v>
      </c>
      <c r="I17" s="34">
        <f>IF($L$1&lt;&gt;3,TRUNC(H17/0.7,2),TRUNC(H17*0.8,2))-0.34</f>
        <v>15.43</v>
      </c>
    </row>
    <row r="18" spans="1:9" s="23" customFormat="1">
      <c r="A18" s="31">
        <v>651</v>
      </c>
      <c r="B18" s="32" t="s">
        <v>112</v>
      </c>
      <c r="C18" s="33">
        <v>11.78</v>
      </c>
      <c r="D18" s="34">
        <f>IF($L$1&lt;&gt;3,TRUNC(C18/0.7,2),TRUNC(C18*0.8,2))-0.96</f>
        <v>15.86</v>
      </c>
      <c r="E18" s="20"/>
      <c r="F18" s="31">
        <v>2904</v>
      </c>
      <c r="G18" s="32" t="s">
        <v>113</v>
      </c>
      <c r="H18" s="33">
        <v>11.84</v>
      </c>
      <c r="I18" s="34">
        <f>IF($L$1&lt;&gt;3,TRUNC(H18/0.7,2),TRUNC(H18*0.8,2))-0.37</f>
        <v>16.54</v>
      </c>
    </row>
    <row r="19" spans="1:9" s="23" customFormat="1" ht="15">
      <c r="A19" s="31">
        <v>649</v>
      </c>
      <c r="B19" s="32" t="s">
        <v>114</v>
      </c>
      <c r="C19" s="33">
        <v>24.78</v>
      </c>
      <c r="D19" s="34">
        <f>IF($L$1&lt;&gt;3,TRUNC(C19/0.7,2),TRUNC(C19*0.8,2))-2.02</f>
        <v>33.379999999999995</v>
      </c>
      <c r="E19" s="20"/>
      <c r="F19" s="28" t="s">
        <v>115</v>
      </c>
      <c r="G19" s="29"/>
      <c r="H19" s="30"/>
      <c r="I19" s="30"/>
    </row>
    <row r="20" spans="1:9" s="23" customFormat="1" ht="15">
      <c r="A20" s="28" t="s">
        <v>116</v>
      </c>
      <c r="B20" s="29"/>
      <c r="C20" s="30"/>
      <c r="D20" s="30"/>
      <c r="E20" s="20"/>
      <c r="F20" s="31">
        <v>1001</v>
      </c>
      <c r="G20" s="32" t="s">
        <v>117</v>
      </c>
      <c r="H20" s="33">
        <v>28.87</v>
      </c>
      <c r="I20" s="34">
        <f>IF($L$1&lt;&gt;3,TRUNC(H20/0.7,2),TRUNC(H20*0.8,2))-0.89</f>
        <v>40.35</v>
      </c>
    </row>
    <row r="21" spans="1:9" s="23" customFormat="1" ht="15">
      <c r="A21" s="31">
        <v>306</v>
      </c>
      <c r="B21" s="32" t="s">
        <v>118</v>
      </c>
      <c r="C21" s="33">
        <v>20.6</v>
      </c>
      <c r="D21" s="34">
        <f>IF($L$1&lt;&gt;3,TRUNC(C21/0.7,2),TRUNC(C21*0.8,2))-0.62</f>
        <v>28.8</v>
      </c>
      <c r="E21" s="20"/>
      <c r="F21" s="28" t="s">
        <v>119</v>
      </c>
      <c r="G21" s="29"/>
      <c r="H21" s="30"/>
      <c r="I21" s="30"/>
    </row>
    <row r="22" spans="1:9" s="23" customFormat="1">
      <c r="A22" s="31">
        <v>307</v>
      </c>
      <c r="B22" s="32" t="s">
        <v>120</v>
      </c>
      <c r="C22" s="33">
        <v>26.82</v>
      </c>
      <c r="D22" s="34">
        <f>IF($L$1&lt;&gt;3,TRUNC(C22/0.7,2),TRUNC(C22*0.8,2))-0.83</f>
        <v>37.480000000000004</v>
      </c>
      <c r="E22" s="20"/>
      <c r="F22" s="31">
        <v>504</v>
      </c>
      <c r="G22" s="32" t="s">
        <v>121</v>
      </c>
      <c r="H22" s="33">
        <v>36.700000000000003</v>
      </c>
      <c r="I22" s="34">
        <f>IF($L$1&lt;&gt;3,TRUNC(H22/0.7,2),TRUNC(H22*0.8,2))-1.13</f>
        <v>51.29</v>
      </c>
    </row>
    <row r="23" spans="1:9" s="23" customFormat="1" ht="15">
      <c r="A23" s="31">
        <v>305</v>
      </c>
      <c r="B23" s="32" t="s">
        <v>122</v>
      </c>
      <c r="C23" s="33">
        <v>29.51</v>
      </c>
      <c r="D23" s="34">
        <f>IF($L$1&lt;&gt;3,TRUNC(C23/0.7,2),TRUNC(C23*0.8,2))-0.91</f>
        <v>41.24</v>
      </c>
      <c r="E23" s="20"/>
      <c r="F23" s="28" t="s">
        <v>123</v>
      </c>
      <c r="G23" s="29"/>
      <c r="H23" s="30"/>
      <c r="I23" s="30"/>
    </row>
    <row r="24" spans="1:9" s="23" customFormat="1" ht="15">
      <c r="A24" s="28" t="s">
        <v>124</v>
      </c>
      <c r="B24" s="29"/>
      <c r="C24" s="30"/>
      <c r="D24" s="30"/>
      <c r="E24" s="20"/>
      <c r="F24" s="31">
        <v>132</v>
      </c>
      <c r="G24" s="32" t="s">
        <v>125</v>
      </c>
      <c r="H24" s="33">
        <v>19.23</v>
      </c>
      <c r="I24" s="35">
        <f>IF($L$1&lt;&gt;3,TRUNC(H24/0.7,2),TRUNC(H24*0.8,2))-0.59</f>
        <v>26.88</v>
      </c>
    </row>
    <row r="25" spans="1:9" s="23" customFormat="1" ht="15">
      <c r="A25" s="31">
        <v>380</v>
      </c>
      <c r="B25" s="32" t="s">
        <v>126</v>
      </c>
      <c r="C25" s="33">
        <v>63.27</v>
      </c>
      <c r="D25" s="34">
        <f>IF($L$1&lt;&gt;3,TRUNC(C25/0.7,2),TRUNC(C25*0.8,2))-1.95</f>
        <v>88.429999999999993</v>
      </c>
      <c r="E25" s="20"/>
      <c r="F25" s="36" t="s">
        <v>127</v>
      </c>
      <c r="G25" s="36"/>
      <c r="H25" s="36"/>
      <c r="I25" s="36"/>
    </row>
    <row r="26" spans="1:9" s="23" customFormat="1" ht="15">
      <c r="A26" s="28" t="s">
        <v>128</v>
      </c>
      <c r="B26" s="29"/>
      <c r="C26" s="30"/>
      <c r="D26" s="30"/>
      <c r="E26" s="20"/>
      <c r="F26" s="31">
        <v>3025</v>
      </c>
      <c r="G26" s="32" t="s">
        <v>129</v>
      </c>
      <c r="H26" s="33">
        <v>8.6300000000000008</v>
      </c>
      <c r="I26" s="35">
        <f>IF($L$1&lt;&gt;3,TRUNC(H26/0.7,2),TRUNC(H26*0.8,2))-0.7</f>
        <v>11.620000000000001</v>
      </c>
    </row>
    <row r="27" spans="1:9" s="23" customFormat="1">
      <c r="A27" s="31">
        <v>482</v>
      </c>
      <c r="B27" s="32" t="s">
        <v>130</v>
      </c>
      <c r="C27" s="33">
        <v>4.1900000000000004</v>
      </c>
      <c r="D27" s="34">
        <f>IF($L$1&lt;&gt;3,TRUNC(C27/0.7,2),TRUNC(C27*0.8,2))-0.34</f>
        <v>5.6400000000000006</v>
      </c>
      <c r="E27" s="20"/>
      <c r="F27" s="31">
        <v>3026</v>
      </c>
      <c r="G27" s="32" t="s">
        <v>131</v>
      </c>
      <c r="H27" s="33">
        <v>10.62</v>
      </c>
      <c r="I27" s="35">
        <f>IF($L$1&lt;&gt;3,TRUNC(H27/0.7,2),TRUNC(H27*0.8,2))-0.87</f>
        <v>14.3</v>
      </c>
    </row>
    <row r="28" spans="1:9" s="23" customFormat="1">
      <c r="A28" s="31">
        <v>426</v>
      </c>
      <c r="B28" s="32" t="s">
        <v>132</v>
      </c>
      <c r="C28" s="33">
        <v>6.24</v>
      </c>
      <c r="D28" s="34">
        <f>IF($L$1&lt;&gt;3,TRUNC(C28/0.7,2),TRUNC(C28*0.8,2))-0.5</f>
        <v>8.41</v>
      </c>
      <c r="E28" s="20"/>
      <c r="F28" s="31">
        <v>3040</v>
      </c>
      <c r="G28" s="32" t="s">
        <v>133</v>
      </c>
      <c r="H28" s="33">
        <v>11.94</v>
      </c>
      <c r="I28" s="35">
        <f>IF($L$1&lt;&gt;3,TRUNC(H28/0.7,2),TRUNC(H28*0.8,2))-0.96</f>
        <v>16.09</v>
      </c>
    </row>
    <row r="29" spans="1:9" s="23" customFormat="1">
      <c r="A29" s="31">
        <v>783</v>
      </c>
      <c r="B29" s="32" t="s">
        <v>134</v>
      </c>
      <c r="C29" s="33">
        <v>5.43</v>
      </c>
      <c r="D29" s="34">
        <f>IF($L$1&lt;&gt;3,TRUNC(C29/0.7,2),TRUNC(C29*0.8,2))-0.44</f>
        <v>7.31</v>
      </c>
      <c r="E29" s="20"/>
      <c r="F29" s="31">
        <v>3042</v>
      </c>
      <c r="G29" s="32" t="s">
        <v>135</v>
      </c>
      <c r="H29" s="33">
        <v>11.94</v>
      </c>
      <c r="I29" s="35">
        <f>IF($L$1&lt;&gt;3,TRUNC(H29/0.7,2),TRUNC(H29*0.8,2))-0.96</f>
        <v>16.09</v>
      </c>
    </row>
    <row r="30" spans="1:9" s="23" customFormat="1" ht="15">
      <c r="A30" s="31">
        <v>911</v>
      </c>
      <c r="B30" s="32" t="s">
        <v>136</v>
      </c>
      <c r="C30" s="33">
        <v>8.02</v>
      </c>
      <c r="D30" s="34">
        <f>IF($L$1&lt;&gt;3,TRUNC(C30/0.7,2),TRUNC(C30*0.8,2))-0.64</f>
        <v>10.809999999999999</v>
      </c>
      <c r="E30" s="20"/>
      <c r="F30" s="28" t="s">
        <v>137</v>
      </c>
      <c r="G30" s="29"/>
      <c r="H30" s="30"/>
      <c r="I30" s="30"/>
    </row>
    <row r="31" spans="1:9" s="23" customFormat="1">
      <c r="A31" s="31">
        <v>909</v>
      </c>
      <c r="B31" s="32" t="s">
        <v>138</v>
      </c>
      <c r="C31" s="33">
        <v>39.07</v>
      </c>
      <c r="D31" s="34">
        <f>IF($L$1&lt;&gt;3,TRUNC(C31/0.7,2),TRUNC(C31*0.8,2))-3.18</f>
        <v>52.63</v>
      </c>
      <c r="E31" s="20"/>
      <c r="F31" s="31">
        <v>3705</v>
      </c>
      <c r="G31" s="32" t="s">
        <v>139</v>
      </c>
      <c r="H31" s="33">
        <v>5.92</v>
      </c>
      <c r="I31" s="35">
        <f>IF($L$1&lt;&gt;3,TRUNC(H31/0.7,2),TRUNC(H31*0.8,2))-0.18</f>
        <v>8.27</v>
      </c>
    </row>
    <row r="32" spans="1:9" s="23" customFormat="1">
      <c r="A32" s="31" t="s">
        <v>80</v>
      </c>
      <c r="B32"/>
      <c r="C32" s="37" t="s">
        <v>140</v>
      </c>
      <c r="D32" s="34">
        <f>D31/50</f>
        <v>1.0526</v>
      </c>
      <c r="E32" s="20"/>
      <c r="F32" s="31">
        <v>3718</v>
      </c>
      <c r="G32" s="32" t="s">
        <v>141</v>
      </c>
      <c r="H32" s="33">
        <v>4.05</v>
      </c>
      <c r="I32" s="35">
        <f>IF($L$1&lt;&gt;3,TRUNC(H32/0.7,2),TRUNC(H32*0.8,2))-0.12</f>
        <v>5.66</v>
      </c>
    </row>
    <row r="33" spans="1:9" s="23" customFormat="1">
      <c r="A33" s="31">
        <v>454</v>
      </c>
      <c r="B33" s="32" t="s">
        <v>142</v>
      </c>
      <c r="C33" s="33">
        <v>4.7300000000000004</v>
      </c>
      <c r="D33" s="34">
        <f>IF($L$1&lt;&gt;3,TRUNC(C33/0.7,2),TRUNC(C33*0.8,2))-0.38</f>
        <v>6.37</v>
      </c>
      <c r="E33" s="20"/>
      <c r="F33" s="31">
        <v>3759</v>
      </c>
      <c r="G33" s="32" t="s">
        <v>143</v>
      </c>
      <c r="H33" s="33">
        <v>2.09</v>
      </c>
      <c r="I33" s="35">
        <f>IF($L$1&lt;&gt;3,TRUNC(H33/0.7,2),TRUNC(H33*0.8,2))-0.06</f>
        <v>2.92</v>
      </c>
    </row>
    <row r="34" spans="1:9" s="23" customFormat="1">
      <c r="A34" s="31">
        <v>780</v>
      </c>
      <c r="B34" s="32" t="s">
        <v>144</v>
      </c>
      <c r="C34" s="33">
        <v>7.7</v>
      </c>
      <c r="D34" s="34">
        <f>IF($L$1&lt;&gt;3,TRUNC(C34/0.7,2),TRUNC(C34*0.8,2))-0.63</f>
        <v>10.37</v>
      </c>
      <c r="E34" s="20"/>
      <c r="F34" s="31">
        <v>3761</v>
      </c>
      <c r="G34" s="32" t="s">
        <v>96</v>
      </c>
      <c r="H34" s="33">
        <v>29.78</v>
      </c>
      <c r="I34" s="35">
        <f>IF($L$1&lt;&gt;3,TRUNC(H34/0.7,2),TRUNC(H34*0.8,2))-0.92</f>
        <v>41.62</v>
      </c>
    </row>
    <row r="35" spans="1:9" s="23" customFormat="1">
      <c r="A35" s="31">
        <v>782</v>
      </c>
      <c r="B35" s="32" t="s">
        <v>145</v>
      </c>
      <c r="C35" s="33">
        <v>8.11</v>
      </c>
      <c r="D35" s="34">
        <f>IF($L$1&lt;&gt;3,TRUNC(C35/0.7,2),TRUNC(C35*0.8,2))-0.66</f>
        <v>10.92</v>
      </c>
      <c r="E35" s="20"/>
      <c r="F35" s="31">
        <v>3706</v>
      </c>
      <c r="G35" s="32" t="s">
        <v>146</v>
      </c>
      <c r="H35" s="33">
        <v>3.07</v>
      </c>
      <c r="I35" s="35">
        <f>IF($L$1&lt;&gt;3,TRUNC(H35/0.7,2),TRUNC(H35*0.8,2))-0.08</f>
        <v>4.3</v>
      </c>
    </row>
    <row r="36" spans="1:9" s="23" customFormat="1">
      <c r="A36" s="31">
        <v>402</v>
      </c>
      <c r="B36" s="32" t="s">
        <v>147</v>
      </c>
      <c r="C36" s="33">
        <v>3.49</v>
      </c>
      <c r="D36" s="34">
        <f>IF($L$1&lt;&gt;3,TRUNC(C36/0.7,2),TRUNC(C36*0.8,2))-0.27</f>
        <v>4.7100000000000009</v>
      </c>
      <c r="E36" s="20"/>
      <c r="F36" s="31">
        <v>3707</v>
      </c>
      <c r="G36" s="32" t="s">
        <v>148</v>
      </c>
      <c r="H36" s="33">
        <v>4.96</v>
      </c>
      <c r="I36" s="35">
        <f>IF($L$1&lt;&gt;3,TRUNC(H36/0.7,2),TRUNC(H36*0.8,2))-0.14</f>
        <v>6.94</v>
      </c>
    </row>
    <row r="37" spans="1:9" s="23" customFormat="1">
      <c r="A37" s="31">
        <v>406</v>
      </c>
      <c r="B37" s="32" t="s">
        <v>149</v>
      </c>
      <c r="C37" s="33">
        <v>3.49</v>
      </c>
      <c r="D37" s="34">
        <f>IF($L$1&lt;&gt;3,TRUNC(C37/0.7,2),TRUNC(C37*0.8,2))-0.27</f>
        <v>4.7100000000000009</v>
      </c>
      <c r="E37" s="20"/>
      <c r="F37" s="31">
        <v>3708</v>
      </c>
      <c r="G37" s="32" t="s">
        <v>150</v>
      </c>
      <c r="H37" s="33">
        <v>4.97</v>
      </c>
      <c r="I37" s="35">
        <f>IF($L$1&lt;&gt;3,TRUNC(H37/0.7,2),TRUNC(H37*0.8,2))-0.15</f>
        <v>6.9499999999999993</v>
      </c>
    </row>
    <row r="38" spans="1:9" s="23" customFormat="1" ht="15">
      <c r="A38" s="31">
        <v>400</v>
      </c>
      <c r="B38" s="32" t="s">
        <v>151</v>
      </c>
      <c r="C38" s="33">
        <v>35.03</v>
      </c>
      <c r="D38" s="34">
        <f>IF($L$1&lt;&gt;3,TRUNC(C38/0.7,2),TRUNC(C38*0.8,2))-2.86</f>
        <v>47.18</v>
      </c>
      <c r="E38" s="20"/>
      <c r="F38" s="28" t="s">
        <v>152</v>
      </c>
      <c r="G38" s="29"/>
      <c r="H38" s="30"/>
      <c r="I38" s="30"/>
    </row>
    <row r="39" spans="1:9" s="23" customFormat="1">
      <c r="A39" s="31"/>
      <c r="B39" s="32"/>
      <c r="C39" s="37" t="s">
        <v>140</v>
      </c>
      <c r="D39" s="34">
        <f>D38/100*2</f>
        <v>0.94359999999999999</v>
      </c>
      <c r="E39" s="20"/>
      <c r="F39" s="31">
        <v>1411</v>
      </c>
      <c r="G39" s="32" t="s">
        <v>153</v>
      </c>
      <c r="H39" s="33">
        <v>4.75</v>
      </c>
      <c r="I39" s="35">
        <f>IF($L$1&lt;&gt;3,TRUNC(H39/0.7,2),TRUNC(H39*0.8,2))-0.14</f>
        <v>6.6400000000000006</v>
      </c>
    </row>
    <row r="40" spans="1:9" s="23" customFormat="1">
      <c r="A40" s="31">
        <v>401</v>
      </c>
      <c r="B40" s="32" t="s">
        <v>154</v>
      </c>
      <c r="C40" s="33">
        <v>35.03</v>
      </c>
      <c r="D40" s="34">
        <f>IF($L$1&lt;&gt;3,TRUNC(C40/0.7,2),TRUNC(C40*0.8,2))-2.86</f>
        <v>47.18</v>
      </c>
      <c r="E40" s="20"/>
      <c r="F40" s="31">
        <v>4412</v>
      </c>
      <c r="G40" s="38" t="s">
        <v>155</v>
      </c>
      <c r="H40" s="33">
        <v>6.38</v>
      </c>
      <c r="I40" s="35">
        <f>IF($L$1&lt;&gt;3,TRUNC(H40/0.7,2),TRUNC(H40*0.8,2))-0.19</f>
        <v>8.92</v>
      </c>
    </row>
    <row r="41" spans="1:9" s="23" customFormat="1" ht="15">
      <c r="A41" s="31"/>
      <c r="B41" s="32"/>
      <c r="C41" s="37" t="s">
        <v>140</v>
      </c>
      <c r="D41" s="34">
        <f>D40/100*2</f>
        <v>0.94359999999999999</v>
      </c>
      <c r="E41" s="20"/>
      <c r="F41" s="28" t="s">
        <v>156</v>
      </c>
      <c r="G41" s="29"/>
      <c r="H41" s="30"/>
      <c r="I41" s="30"/>
    </row>
    <row r="42" spans="1:9" s="23" customFormat="1">
      <c r="A42" s="31">
        <v>410</v>
      </c>
      <c r="B42" s="32" t="s">
        <v>270</v>
      </c>
      <c r="C42" s="33">
        <v>5.1100000000000003</v>
      </c>
      <c r="D42" s="34">
        <f>IF($L$1&lt;&gt;3,TRUNC(C42/0.7,2),TRUNC(C42*0.8,2))-0.42</f>
        <v>6.88</v>
      </c>
      <c r="E42" s="20"/>
      <c r="F42" s="31">
        <v>9414</v>
      </c>
      <c r="G42" s="32" t="s">
        <v>157</v>
      </c>
      <c r="H42" s="33">
        <v>34.22</v>
      </c>
      <c r="I42" s="35">
        <f>IF($L$1&lt;&gt;3,TRUNC(H42/0.7,2),TRUNC(H42*0.8,2))-1.06</f>
        <v>47.82</v>
      </c>
    </row>
    <row r="43" spans="1:9" s="23" customFormat="1">
      <c r="A43" s="31">
        <v>490</v>
      </c>
      <c r="B43" s="32" t="s">
        <v>158</v>
      </c>
      <c r="C43" s="33">
        <v>7.1</v>
      </c>
      <c r="D43" s="34">
        <f>IF($L$1&lt;&gt;3,TRUNC(C43/0.7,2),TRUNC(C43*0.8,2))-0.58</f>
        <v>9.56</v>
      </c>
      <c r="E43" s="20"/>
      <c r="F43" s="31">
        <v>9455</v>
      </c>
      <c r="G43" s="32" t="s">
        <v>159</v>
      </c>
      <c r="H43" s="33">
        <v>37.229999999999997</v>
      </c>
      <c r="I43" s="35">
        <f>IF($L$1&lt;&gt;3,TRUNC(H43/0.7,2),TRUNC(H43*0.8,2))-1.15</f>
        <v>52.03</v>
      </c>
    </row>
    <row r="44" spans="1:9" s="23" customFormat="1" ht="15">
      <c r="A44" s="31">
        <v>495</v>
      </c>
      <c r="B44" s="32" t="s">
        <v>160</v>
      </c>
      <c r="C44" s="33">
        <v>10.69</v>
      </c>
      <c r="D44" s="34">
        <f>IF($L$1&lt;&gt;3,TRUNC(C44/0.7,2),TRUNC(C44*0.8,2))-0.88</f>
        <v>14.389999999999999</v>
      </c>
      <c r="E44" s="20"/>
      <c r="F44" s="28" t="s">
        <v>161</v>
      </c>
      <c r="G44" s="29"/>
      <c r="H44" s="30"/>
      <c r="I44" s="30"/>
    </row>
    <row r="45" spans="1:9" s="23" customFormat="1">
      <c r="A45" s="39">
        <v>785</v>
      </c>
      <c r="B45" s="32" t="s">
        <v>162</v>
      </c>
      <c r="C45" s="33">
        <v>18.03</v>
      </c>
      <c r="D45" s="34">
        <v>25.74</v>
      </c>
      <c r="E45" s="20"/>
      <c r="F45" s="31">
        <v>4515</v>
      </c>
      <c r="G45" s="32" t="s">
        <v>163</v>
      </c>
      <c r="H45" s="33">
        <v>8.81</v>
      </c>
      <c r="I45" s="35">
        <f>IF($L$1&lt;&gt;3,TRUNC(H45/0.7,2),TRUNC(H45*0.8,2))-0.72</f>
        <v>11.86</v>
      </c>
    </row>
    <row r="46" spans="1:9" s="23" customFormat="1" ht="15">
      <c r="A46" s="39">
        <v>786</v>
      </c>
      <c r="B46" s="32" t="s">
        <v>164</v>
      </c>
      <c r="C46" s="33">
        <v>18.03</v>
      </c>
      <c r="D46" s="34">
        <v>25.74</v>
      </c>
      <c r="E46" s="20"/>
      <c r="F46" s="28" t="s">
        <v>165</v>
      </c>
      <c r="G46" s="40"/>
      <c r="H46" s="41"/>
      <c r="I46" s="41"/>
    </row>
    <row r="47" spans="1:9" s="23" customFormat="1" ht="15">
      <c r="A47" s="28" t="s">
        <v>166</v>
      </c>
      <c r="B47" s="29"/>
      <c r="C47" s="30"/>
      <c r="D47" s="30"/>
      <c r="E47" s="20"/>
      <c r="F47" s="39">
        <v>3801</v>
      </c>
      <c r="G47" s="32" t="s">
        <v>167</v>
      </c>
      <c r="H47" s="33">
        <v>5.19</v>
      </c>
      <c r="I47" s="35">
        <f>IF($L$1&lt;&gt;3,TRUNC(H47/0.7,2),TRUNC(H47*0.8,2))-0.15</f>
        <v>7.26</v>
      </c>
    </row>
    <row r="48" spans="1:9" s="23" customFormat="1" ht="15">
      <c r="A48" s="31">
        <v>2412</v>
      </c>
      <c r="B48" s="32" t="s">
        <v>168</v>
      </c>
      <c r="C48" s="33">
        <v>16.04</v>
      </c>
      <c r="D48" s="34">
        <f>IF($L$1&lt;&gt;3,TRUNC(C48/0.7,2),TRUNC(C48*0.8,2))-0.49</f>
        <v>22.42</v>
      </c>
      <c r="E48" s="20"/>
      <c r="F48" s="28" t="s">
        <v>169</v>
      </c>
      <c r="G48" s="29"/>
      <c r="H48" s="30"/>
      <c r="I48" s="30"/>
    </row>
    <row r="49" spans="1:13" s="23" customFormat="1">
      <c r="A49" s="31" t="s">
        <v>80</v>
      </c>
      <c r="B49"/>
      <c r="C49" s="37" t="s">
        <v>170</v>
      </c>
      <c r="D49" s="34">
        <f>D48/3</f>
        <v>7.4733333333333336</v>
      </c>
      <c r="E49" s="20"/>
      <c r="F49" s="31">
        <v>2112</v>
      </c>
      <c r="G49" s="32" t="s">
        <v>171</v>
      </c>
      <c r="H49" s="33">
        <v>17.600000000000001</v>
      </c>
      <c r="I49" s="35">
        <f>IF($L$1&lt;&gt;3,TRUNC(H49/0.7,2),TRUNC(H49*0.8,2))-1.44</f>
        <v>23.7</v>
      </c>
    </row>
    <row r="50" spans="1:13" s="23" customFormat="1" ht="15">
      <c r="A50" s="28" t="s">
        <v>172</v>
      </c>
      <c r="B50" s="29"/>
      <c r="C50" s="30"/>
      <c r="D50" s="30"/>
      <c r="E50" s="20"/>
      <c r="F50" s="31">
        <v>2111</v>
      </c>
      <c r="G50" s="32" t="s">
        <v>173</v>
      </c>
      <c r="H50" s="33">
        <v>23.46</v>
      </c>
      <c r="I50" s="35">
        <f>IF($L$1&lt;&gt;3,TRUNC(H50/0.7,2),TRUNC(H50*0.8,2))-1.91</f>
        <v>31.599999999999998</v>
      </c>
    </row>
    <row r="51" spans="1:13" s="23" customFormat="1" ht="15">
      <c r="A51" s="31">
        <v>861</v>
      </c>
      <c r="B51" s="32" t="s">
        <v>174</v>
      </c>
      <c r="C51" s="33">
        <v>6.24</v>
      </c>
      <c r="D51" s="34">
        <f>IF($L$1&lt;&gt;3,TRUNC(C51/0.7439,2),TRUNC(C51*0.8,2))+0.03</f>
        <v>8.41</v>
      </c>
      <c r="E51" s="20"/>
      <c r="F51" s="28" t="s">
        <v>175</v>
      </c>
      <c r="G51" s="29"/>
      <c r="H51" s="30"/>
      <c r="I51" s="30"/>
    </row>
    <row r="52" spans="1:13" s="23" customFormat="1">
      <c r="A52" s="31">
        <v>887</v>
      </c>
      <c r="B52" s="32" t="s">
        <v>176</v>
      </c>
      <c r="C52" s="33">
        <v>17.690000000000001</v>
      </c>
      <c r="D52" s="34">
        <f>IF($L$1&lt;&gt;3,TRUNC(C52/0.7439,2),TRUNC(C52*0.8,2))+0.04</f>
        <v>23.82</v>
      </c>
      <c r="E52" s="20"/>
      <c r="F52" s="31">
        <v>5431</v>
      </c>
      <c r="G52" s="32" t="s">
        <v>177</v>
      </c>
      <c r="H52" s="33">
        <v>19.579999999999998</v>
      </c>
      <c r="I52" s="35">
        <f>IF($L$1&lt;&gt;3,TRUNC(H52/0.7,2),TRUNC(H52*0.8,2))-0.61</f>
        <v>27.36</v>
      </c>
    </row>
    <row r="53" spans="1:13" s="23" customFormat="1">
      <c r="A53" s="31">
        <v>820</v>
      </c>
      <c r="B53" s="32" t="s">
        <v>178</v>
      </c>
      <c r="C53" s="33">
        <v>3.25</v>
      </c>
      <c r="D53" s="34">
        <f>IF($L$1&lt;&gt;3,TRUNC(C53/0.7,2),TRUNC(C53*0.8,2))-0.26</f>
        <v>4.38</v>
      </c>
      <c r="E53" s="20"/>
      <c r="F53" s="31">
        <v>5429</v>
      </c>
      <c r="G53" s="32" t="s">
        <v>179</v>
      </c>
      <c r="H53" s="33">
        <v>16.53</v>
      </c>
      <c r="I53" s="35">
        <f>IF($L$1&lt;&gt;3,TRUNC(H53/0.7,2),TRUNC(H53*0.8,2))-0.51</f>
        <v>23.099999999999998</v>
      </c>
    </row>
    <row r="54" spans="1:13" s="23" customFormat="1" ht="15">
      <c r="A54" s="31">
        <v>891</v>
      </c>
      <c r="B54" s="32" t="s">
        <v>180</v>
      </c>
      <c r="C54" s="33">
        <v>4.74</v>
      </c>
      <c r="D54" s="34">
        <f>IF($L$1&lt;&gt;3,TRUNC(C54/0.7,2),TRUNC(C54*0.8,2))-0.39</f>
        <v>6.38</v>
      </c>
      <c r="E54" s="20"/>
      <c r="F54" s="28" t="s">
        <v>181</v>
      </c>
      <c r="G54" s="29"/>
      <c r="H54" s="30"/>
      <c r="I54" s="30"/>
    </row>
    <row r="55" spans="1:13" s="23" customFormat="1" ht="15">
      <c r="A55" s="28" t="s">
        <v>182</v>
      </c>
      <c r="B55" s="29"/>
      <c r="C55" s="30"/>
      <c r="D55" s="30"/>
      <c r="E55" s="20"/>
      <c r="F55" s="31">
        <v>610</v>
      </c>
      <c r="G55" s="32" t="s">
        <v>183</v>
      </c>
      <c r="H55" s="33">
        <v>11.67</v>
      </c>
      <c r="I55" s="35">
        <f>IF($L$1&lt;&gt;3,TRUNC(H55/0.7,2),TRUNC(H55*0.8,2))-0.95</f>
        <v>15.720000000000002</v>
      </c>
    </row>
    <row r="56" spans="1:13" s="23" customFormat="1" ht="15">
      <c r="A56" s="31">
        <v>2726</v>
      </c>
      <c r="B56" s="32" t="s">
        <v>184</v>
      </c>
      <c r="C56" s="33">
        <v>194.99</v>
      </c>
      <c r="D56" s="34">
        <f>IF($L$1&lt;&gt;3,TRUNC(C56/0.7,2),TRUNC(C56*0.8,2))-6.03</f>
        <v>272.52000000000004</v>
      </c>
      <c r="E56" s="20"/>
      <c r="F56" s="28" t="s">
        <v>185</v>
      </c>
      <c r="G56" s="29"/>
      <c r="H56" s="30"/>
      <c r="I56" s="30"/>
    </row>
    <row r="57" spans="1:13" s="23" customFormat="1" ht="15">
      <c r="A57" s="28" t="s">
        <v>186</v>
      </c>
      <c r="B57" s="29"/>
      <c r="C57" s="30"/>
      <c r="D57" s="30"/>
      <c r="E57" s="20"/>
      <c r="F57" s="31">
        <v>5548</v>
      </c>
      <c r="G57" s="32" t="s">
        <v>187</v>
      </c>
      <c r="H57" s="33">
        <v>8.2799999999999994</v>
      </c>
      <c r="I57" s="35">
        <f>IF($L$1&lt;&gt;3,TRUNC(H57/0.7,2),TRUNC(H57*0.8,2))-0.66</f>
        <v>11.16</v>
      </c>
    </row>
    <row r="58" spans="1:13" s="23" customFormat="1">
      <c r="A58" s="31">
        <v>128</v>
      </c>
      <c r="B58" s="32" t="s">
        <v>188</v>
      </c>
      <c r="C58" s="33">
        <v>19.89</v>
      </c>
      <c r="D58" s="34">
        <f>IF($L$1&lt;&gt;3,TRUNC(C58/0.7,2),TRUNC(C58*0.8,2))-0.61</f>
        <v>27.8</v>
      </c>
      <c r="E58" s="20"/>
      <c r="F58" s="31">
        <v>5535</v>
      </c>
      <c r="G58" s="32" t="s">
        <v>189</v>
      </c>
      <c r="H58" s="33">
        <v>5.61</v>
      </c>
      <c r="I58" s="35">
        <f>IF($L$1&lt;&gt;3,TRUNC(H58/0.7,2),TRUNC(H58*0.8,2))-0.46</f>
        <v>7.55</v>
      </c>
    </row>
    <row r="59" spans="1:13" s="23" customFormat="1" ht="15">
      <c r="A59" s="31">
        <v>120</v>
      </c>
      <c r="B59" s="32" t="s">
        <v>190</v>
      </c>
      <c r="C59" s="33">
        <v>12.54</v>
      </c>
      <c r="D59" s="34">
        <f>IF($L$1&lt;&gt;3,TRUNC(C59/0.7,2),TRUNC(C59*0.8,2))-0.39</f>
        <v>17.52</v>
      </c>
      <c r="E59" s="20"/>
      <c r="F59" s="28" t="s">
        <v>191</v>
      </c>
      <c r="G59" s="29"/>
      <c r="H59" s="30"/>
      <c r="I59" s="30"/>
      <c r="J59"/>
      <c r="K59"/>
      <c r="L59"/>
      <c r="M59"/>
    </row>
    <row r="60" spans="1:13" s="23" customFormat="1">
      <c r="A60" s="31">
        <v>122</v>
      </c>
      <c r="B60" s="32" t="s">
        <v>192</v>
      </c>
      <c r="C60" s="33">
        <v>14.87</v>
      </c>
      <c r="D60" s="34">
        <f>IF($L$1&lt;&gt;3,TRUNC(C60/0.7,2),TRUNC(C60*0.8,2))-0.46</f>
        <v>20.779999999999998</v>
      </c>
      <c r="E60" s="20"/>
      <c r="F60" s="31">
        <v>6107</v>
      </c>
      <c r="G60" s="32" t="s">
        <v>193</v>
      </c>
      <c r="H60" s="33">
        <v>2.59</v>
      </c>
      <c r="I60" s="35">
        <f>IF($L$1&lt;&gt;3,TRUNC(H60/0.7,2),TRUNC(H60*0.8,2))-0.21</f>
        <v>3.49</v>
      </c>
      <c r="J60"/>
      <c r="K60"/>
      <c r="L60"/>
      <c r="M60"/>
    </row>
    <row r="61" spans="1:13" s="23" customFormat="1">
      <c r="A61" s="31">
        <v>123</v>
      </c>
      <c r="B61" s="32" t="s">
        <v>194</v>
      </c>
      <c r="C61" s="33">
        <v>15.91</v>
      </c>
      <c r="D61" s="34">
        <f>IF($L$1&lt;&gt;3,TRUNC(C61/0.7,2),TRUNC(C61*0.8,2))-0.49</f>
        <v>22.23</v>
      </c>
      <c r="E61" s="20"/>
      <c r="F61" s="31">
        <v>6111</v>
      </c>
      <c r="G61" s="32" t="s">
        <v>195</v>
      </c>
      <c r="H61" s="33">
        <v>2.75</v>
      </c>
      <c r="I61" s="35">
        <f>IF($L$1&lt;&gt;3,TRUNC(H61/0.7,2),TRUNC(H61*0.8,2))-0.22</f>
        <v>3.6999999999999997</v>
      </c>
      <c r="J61"/>
      <c r="K61"/>
      <c r="L61"/>
      <c r="M61"/>
    </row>
    <row r="62" spans="1:13" s="23" customFormat="1" ht="15">
      <c r="A62" s="31">
        <v>124</v>
      </c>
      <c r="B62" s="32" t="s">
        <v>196</v>
      </c>
      <c r="C62" s="33">
        <v>20.350000000000001</v>
      </c>
      <c r="D62" s="34">
        <f>IF($L$1&lt;&gt;3,TRUNC(C62/0.7,2),TRUNC(C62*0.8,2))-0.63</f>
        <v>28.44</v>
      </c>
      <c r="E62" s="20"/>
      <c r="F62" s="28" t="s">
        <v>197</v>
      </c>
      <c r="G62" s="29"/>
      <c r="H62" s="30"/>
      <c r="I62" s="30"/>
      <c r="J62"/>
      <c r="K62"/>
      <c r="L62"/>
      <c r="M62"/>
    </row>
    <row r="63" spans="1:13" s="23" customFormat="1" ht="15">
      <c r="A63" s="28" t="s">
        <v>198</v>
      </c>
      <c r="B63" s="29"/>
      <c r="C63" s="30"/>
      <c r="D63" s="30"/>
      <c r="E63" s="20"/>
      <c r="F63" s="31">
        <v>6317</v>
      </c>
      <c r="G63" s="32" t="s">
        <v>199</v>
      </c>
      <c r="H63" s="33">
        <v>9.56</v>
      </c>
      <c r="I63" s="35">
        <f>IF($L$1&lt;&gt;3,TRUNC(H63/0.7,2),TRUNC(H63*0.8,2))-0.77</f>
        <v>12.88</v>
      </c>
      <c r="J63"/>
      <c r="K63"/>
      <c r="L63"/>
      <c r="M63"/>
    </row>
    <row r="64" spans="1:13" s="23" customFormat="1" ht="15">
      <c r="A64" s="31">
        <v>1104</v>
      </c>
      <c r="B64" s="32" t="s">
        <v>200</v>
      </c>
      <c r="C64" s="33">
        <v>13.7</v>
      </c>
      <c r="D64" s="34">
        <f>IF($L$1&lt;&gt;3,TRUNC(C64/0.7,2),TRUNC(C64*0.8,2))-0.42</f>
        <v>19.149999999999999</v>
      </c>
      <c r="E64" s="20"/>
      <c r="F64" s="28" t="s">
        <v>201</v>
      </c>
      <c r="G64" s="29"/>
      <c r="H64" s="30"/>
      <c r="I64" s="30"/>
    </row>
    <row r="65" spans="1:14" s="23" customFormat="1">
      <c r="A65" s="31">
        <v>1106</v>
      </c>
      <c r="B65" s="32" t="s">
        <v>202</v>
      </c>
      <c r="C65" s="33">
        <v>8.32</v>
      </c>
      <c r="D65" s="34">
        <f>IF($L$1&lt;&gt;3,TRUNC(C65/0.7,2),TRUNC(C65*0.8,2))-0.26</f>
        <v>11.620000000000001</v>
      </c>
      <c r="E65" s="20"/>
      <c r="F65" s="31">
        <v>6408</v>
      </c>
      <c r="G65" s="32" t="s">
        <v>203</v>
      </c>
      <c r="H65" s="33">
        <v>8.33</v>
      </c>
      <c r="I65" s="35">
        <f>IF($L$1&lt;&gt;3,TRUNC(H65/0.7,2),TRUNC(H65*0.8,2))-0.69</f>
        <v>11.21</v>
      </c>
    </row>
    <row r="66" spans="1:14" s="23" customFormat="1" ht="15">
      <c r="A66" s="31">
        <v>1108</v>
      </c>
      <c r="B66" s="32" t="s">
        <v>204</v>
      </c>
      <c r="C66" s="33">
        <v>22.08</v>
      </c>
      <c r="D66" s="34">
        <f>IF($L$1&lt;&gt;3,TRUNC(C66/0.7,2),TRUNC(C66*0.8,2))-0.67</f>
        <v>30.869999999999997</v>
      </c>
      <c r="E66" s="20"/>
      <c r="F66" s="28" t="s">
        <v>205</v>
      </c>
      <c r="G66" s="29"/>
      <c r="H66" s="30"/>
      <c r="I66" s="30"/>
    </row>
    <row r="67" spans="1:14" s="23" customFormat="1" ht="15">
      <c r="A67" s="28" t="s">
        <v>206</v>
      </c>
      <c r="B67" s="29"/>
      <c r="C67" s="30"/>
      <c r="D67" s="30"/>
      <c r="E67" s="20"/>
      <c r="F67" s="31">
        <v>1838</v>
      </c>
      <c r="G67" s="32" t="s">
        <v>207</v>
      </c>
      <c r="H67" s="33">
        <v>5.51</v>
      </c>
      <c r="I67" s="35">
        <f>IF($L$1&lt;&gt;3,TRUNC(H67/0.7,2),TRUNC(H67*0.8,2))-0.44</f>
        <v>7.43</v>
      </c>
    </row>
    <row r="68" spans="1:14" s="23" customFormat="1">
      <c r="A68" s="31">
        <v>846</v>
      </c>
      <c r="B68" s="32" t="s">
        <v>208</v>
      </c>
      <c r="C68" s="33">
        <v>17.32</v>
      </c>
      <c r="D68" s="34">
        <f>IF($L$1&lt;&gt;3,TRUNC(C68/0.7,2),TRUNC(C68*0.8,2))-1.41</f>
        <v>23.33</v>
      </c>
      <c r="E68" s="20"/>
      <c r="F68" s="31">
        <v>1840</v>
      </c>
      <c r="G68" s="32" t="s">
        <v>209</v>
      </c>
      <c r="H68" s="33">
        <v>14.34</v>
      </c>
      <c r="I68" s="35">
        <f>IF($L$1&lt;&gt;3,TRUNC(H68/0.7,2),TRUNC(H68*0.8,2))-1.16</f>
        <v>19.32</v>
      </c>
    </row>
    <row r="69" spans="1:14" s="23" customFormat="1" ht="15">
      <c r="A69" s="31">
        <v>859</v>
      </c>
      <c r="B69" s="32" t="s">
        <v>210</v>
      </c>
      <c r="C69" s="33">
        <v>8.4600000000000009</v>
      </c>
      <c r="D69" s="34">
        <v>11.82</v>
      </c>
      <c r="E69" s="20"/>
      <c r="F69" s="36" t="s">
        <v>211</v>
      </c>
      <c r="G69" s="36"/>
      <c r="H69" s="36"/>
      <c r="I69" s="36"/>
    </row>
    <row r="70" spans="1:14" s="23" customFormat="1" ht="15">
      <c r="A70" s="28" t="s">
        <v>212</v>
      </c>
      <c r="B70" s="29"/>
      <c r="C70" s="30"/>
      <c r="D70" s="30"/>
      <c r="E70" s="20"/>
      <c r="F70" s="31">
        <v>7127</v>
      </c>
      <c r="G70" s="32" t="s">
        <v>213</v>
      </c>
      <c r="H70" s="33">
        <v>37.369999999999997</v>
      </c>
      <c r="I70" s="35">
        <f>IF($L$1&lt;&gt;3,TRUNC(H70/0.7,2),TRUNC(H70*0.8,2))-1.16</f>
        <v>52.220000000000006</v>
      </c>
    </row>
    <row r="71" spans="1:14" s="23" customFormat="1">
      <c r="A71" s="31">
        <v>1801</v>
      </c>
      <c r="B71" s="32" t="s">
        <v>207</v>
      </c>
      <c r="C71" s="33">
        <v>4.3099999999999996</v>
      </c>
      <c r="D71" s="34">
        <f>IF($L$1&lt;&gt;3,TRUNC(C71/0.7,2),TRUNC(C71*0.8,2))-0.34</f>
        <v>5.8100000000000005</v>
      </c>
      <c r="E71" s="20"/>
      <c r="F71" s="31">
        <v>7142</v>
      </c>
      <c r="G71" s="32" t="s">
        <v>214</v>
      </c>
      <c r="H71" s="33">
        <v>27.04</v>
      </c>
      <c r="I71" s="35">
        <f>IF($L$1&lt;&gt;3,TRUNC(H71/0.7,2),TRUNC(H71*0.8,2))-0.83</f>
        <v>37.79</v>
      </c>
    </row>
    <row r="72" spans="1:14" s="23" customFormat="1">
      <c r="E72" s="20"/>
      <c r="F72" s="42"/>
      <c r="G72" s="43"/>
      <c r="H72" s="44"/>
      <c r="I72" s="45"/>
    </row>
    <row r="73" spans="1:14" s="23" customFormat="1">
      <c r="E73" s="20"/>
      <c r="F73" s="31"/>
      <c r="G73" s="32"/>
      <c r="H73" s="33"/>
      <c r="I73" s="35"/>
    </row>
    <row r="74" spans="1:14" s="23" customFormat="1">
      <c r="E74" s="20"/>
    </row>
    <row r="75" spans="1:14" s="23" customFormat="1" ht="15" customHeight="1">
      <c r="E75" s="20"/>
      <c r="K75"/>
    </row>
    <row r="76" spans="1:14" s="23" customFormat="1" ht="15" customHeight="1">
      <c r="E76" s="20"/>
      <c r="K76"/>
    </row>
    <row r="77" spans="1:14" s="23" customFormat="1" hidden="1">
      <c r="E77" s="20"/>
    </row>
    <row r="78" spans="1:14" s="23" customFormat="1" ht="12.95" hidden="1" customHeight="1">
      <c r="E78" s="47"/>
      <c r="J78"/>
      <c r="M78" s="48"/>
      <c r="N78" s="48"/>
    </row>
    <row r="79" spans="1:14" s="23" customFormat="1" ht="12.95" customHeight="1">
      <c r="E79" s="47"/>
      <c r="J79"/>
      <c r="M79" s="48"/>
      <c r="N79" s="48"/>
    </row>
    <row r="80" spans="1:14" s="23" customFormat="1" ht="12.95" customHeight="1">
      <c r="A80" s="42"/>
      <c r="B80" s="43"/>
      <c r="C80" s="46"/>
      <c r="D80" s="46"/>
      <c r="E80" s="47"/>
      <c r="F80"/>
      <c r="G80"/>
      <c r="H80"/>
      <c r="I80"/>
      <c r="J80"/>
      <c r="M80" s="48"/>
      <c r="N80" s="48"/>
    </row>
    <row r="81" spans="1:14" s="23" customFormat="1" ht="12.95" customHeight="1">
      <c r="A81" s="31"/>
      <c r="B81" s="32"/>
      <c r="C81" s="33"/>
      <c r="D81" s="34"/>
      <c r="E81" s="47"/>
      <c r="F81"/>
      <c r="G81"/>
      <c r="H81"/>
      <c r="I81"/>
      <c r="J81"/>
      <c r="M81" s="48"/>
      <c r="N81" s="48"/>
    </row>
    <row r="82" spans="1:14" s="23" customFormat="1" ht="12.95" customHeight="1">
      <c r="A82" s="17"/>
      <c r="B82" s="18"/>
      <c r="C82" s="49" t="s">
        <v>81</v>
      </c>
      <c r="D82" s="49" t="s">
        <v>82</v>
      </c>
      <c r="E82" s="47"/>
      <c r="F82" s="50" t="s">
        <v>215</v>
      </c>
      <c r="G82" s="51"/>
      <c r="H82" s="51"/>
      <c r="I82" s="51"/>
      <c r="J82"/>
      <c r="M82" s="48"/>
      <c r="N82" s="48"/>
    </row>
    <row r="83" spans="1:14" s="23" customFormat="1" ht="12.95" customHeight="1">
      <c r="A83" s="24" t="s">
        <v>83</v>
      </c>
      <c r="B83" s="25" t="s">
        <v>84</v>
      </c>
      <c r="C83" s="26" t="s">
        <v>85</v>
      </c>
      <c r="D83" s="26" t="str">
        <f>IF($L$1&lt;&gt;3,"MÁXIMO","FUNCIONÁRIO")</f>
        <v>MÁXIMO</v>
      </c>
      <c r="E83" s="47"/>
      <c r="F83" s="52"/>
      <c r="G83" s="53"/>
      <c r="H83" s="83"/>
      <c r="J83"/>
      <c r="M83" s="48"/>
      <c r="N83" s="48"/>
    </row>
    <row r="84" spans="1:14" s="23" customFormat="1" ht="12.95" customHeight="1">
      <c r="A84" s="28" t="s">
        <v>216</v>
      </c>
      <c r="B84" s="29"/>
      <c r="C84" s="30"/>
      <c r="D84" s="30"/>
      <c r="E84" s="47"/>
      <c r="F84" s="52"/>
      <c r="G84" s="53"/>
      <c r="H84" s="49" t="s">
        <v>81</v>
      </c>
      <c r="I84" s="49" t="s">
        <v>82</v>
      </c>
      <c r="J84"/>
      <c r="M84" s="48"/>
      <c r="N84" s="48"/>
    </row>
    <row r="85" spans="1:14" s="23" customFormat="1" ht="12.95" customHeight="1">
      <c r="A85" s="31">
        <v>961</v>
      </c>
      <c r="B85" s="32" t="s">
        <v>217</v>
      </c>
      <c r="C85" s="33">
        <v>17.22</v>
      </c>
      <c r="D85" s="35">
        <f>IF($L$1&lt;&gt;3,TRUNC(C85/0.7,2),TRUNC(C85*0.8,2))-1.41</f>
        <v>23.19</v>
      </c>
      <c r="E85" s="47"/>
      <c r="F85" s="54" t="s">
        <v>83</v>
      </c>
      <c r="G85" s="55" t="s">
        <v>84</v>
      </c>
      <c r="H85" s="56" t="s">
        <v>85</v>
      </c>
      <c r="I85" s="56" t="str">
        <f>IF($L$1&lt;&gt;3,"MÁXIMO","FUNCIONÁRIO")</f>
        <v>MÁXIMO</v>
      </c>
      <c r="J85"/>
      <c r="M85" s="48"/>
      <c r="N85" s="48"/>
    </row>
    <row r="86" spans="1:14" s="23" customFormat="1" ht="12.95" customHeight="1">
      <c r="A86" s="31">
        <v>962</v>
      </c>
      <c r="B86" s="32" t="s">
        <v>219</v>
      </c>
      <c r="C86" s="33">
        <v>32.46</v>
      </c>
      <c r="D86" s="35">
        <f>IF($L$1&lt;&gt;3,TRUNC(C86/0.7,2),TRUNC(C86*0.8,2))-2.65</f>
        <v>43.72</v>
      </c>
      <c r="E86" s="47"/>
      <c r="F86" s="57" t="s">
        <v>218</v>
      </c>
      <c r="G86" s="58"/>
      <c r="H86" s="59"/>
      <c r="I86" s="60"/>
      <c r="J86"/>
      <c r="M86" s="48"/>
      <c r="N86" s="48"/>
    </row>
    <row r="87" spans="1:14" s="23" customFormat="1" ht="12.95" customHeight="1">
      <c r="A87" s="28" t="s">
        <v>221</v>
      </c>
      <c r="B87" s="29"/>
      <c r="C87" s="30"/>
      <c r="D87" s="30"/>
      <c r="E87" s="47"/>
      <c r="F87" s="31">
        <v>3806</v>
      </c>
      <c r="G87" s="61" t="s">
        <v>220</v>
      </c>
      <c r="H87" s="33">
        <v>6.76</v>
      </c>
      <c r="I87" s="35">
        <f>IF($L$1&lt;&gt;3,TRUNC(H87/0.7,2),TRUNC(H87*0.8,2))-0.2</f>
        <v>9.4500000000000011</v>
      </c>
      <c r="J87"/>
      <c r="M87" s="48"/>
      <c r="N87" s="48"/>
    </row>
    <row r="88" spans="1:14" s="23" customFormat="1" ht="12.95" customHeight="1">
      <c r="A88" s="31">
        <v>7150</v>
      </c>
      <c r="B88" s="32" t="s">
        <v>223</v>
      </c>
      <c r="C88" s="33">
        <v>22.91</v>
      </c>
      <c r="D88" s="35">
        <f>IF($L$1&lt;&gt;3,TRUNC(C88/0.7,2),TRUNC(C88*0.8,2))-0.7</f>
        <v>32.019999999999996</v>
      </c>
      <c r="E88" s="47"/>
      <c r="F88" s="31">
        <v>3804</v>
      </c>
      <c r="G88" s="61" t="s">
        <v>222</v>
      </c>
      <c r="H88" s="33">
        <v>10.74</v>
      </c>
      <c r="I88" s="35">
        <f>IF($L$1&lt;&gt;3,TRUNC(H88/0.7,2),TRUNC(H88*0.8,2))-0.33</f>
        <v>15.01</v>
      </c>
      <c r="J88"/>
      <c r="M88" s="48"/>
      <c r="N88" s="48"/>
    </row>
    <row r="89" spans="1:14" s="23" customFormat="1" ht="12.95" customHeight="1">
      <c r="A89" s="31">
        <v>7151</v>
      </c>
      <c r="B89" s="32" t="s">
        <v>225</v>
      </c>
      <c r="C89" s="33">
        <v>17.91</v>
      </c>
      <c r="D89" s="35">
        <f>IF($L$1&lt;&gt;3,TRUNC(C89/0.7,2),TRUNC(C89*0.8,2))-0.55</f>
        <v>25.029999999999998</v>
      </c>
      <c r="E89" s="47"/>
      <c r="F89" s="57" t="s">
        <v>224</v>
      </c>
      <c r="G89" s="58"/>
      <c r="H89" s="59"/>
      <c r="I89" s="60"/>
      <c r="J89"/>
      <c r="M89" s="48"/>
      <c r="N89" s="48"/>
    </row>
    <row r="90" spans="1:14" s="23" customFormat="1" ht="12.95" customHeight="1">
      <c r="A90" s="31">
        <v>7152</v>
      </c>
      <c r="B90" s="32" t="s">
        <v>227</v>
      </c>
      <c r="C90" s="33">
        <v>23.93</v>
      </c>
      <c r="D90" s="35">
        <f>IF($L$1&lt;&gt;3,TRUNC(C90/0.7,2),TRUNC(C90*0.8,2))-0.74</f>
        <v>33.44</v>
      </c>
      <c r="E90" s="47"/>
      <c r="F90" s="31">
        <v>7241</v>
      </c>
      <c r="G90" s="61" t="s">
        <v>226</v>
      </c>
      <c r="H90" s="33">
        <v>5.95</v>
      </c>
      <c r="I90" s="35">
        <f>IF($L$1&lt;&gt;3,TRUNC(H90/0.7,2),TRUNC(H90*0.8,2))-0.18</f>
        <v>8.32</v>
      </c>
      <c r="J90"/>
      <c r="M90" s="48"/>
      <c r="N90" s="48"/>
    </row>
    <row r="91" spans="1:14" s="23" customFormat="1" ht="12.95" customHeight="1">
      <c r="A91" s="31">
        <v>7153</v>
      </c>
      <c r="B91" s="32" t="s">
        <v>229</v>
      </c>
      <c r="C91" s="33">
        <v>17.38</v>
      </c>
      <c r="D91" s="35">
        <f>IF($L$1&lt;&gt;3,TRUNC(C91/0.7,2),TRUNC(C91*0.8,2))-0.52</f>
        <v>24.3</v>
      </c>
      <c r="E91" s="47"/>
      <c r="F91" s="31">
        <v>7243</v>
      </c>
      <c r="G91" s="61" t="s">
        <v>228</v>
      </c>
      <c r="H91" s="33">
        <v>9.0299999999999994</v>
      </c>
      <c r="I91" s="35">
        <f>IF($L$1&lt;&gt;3,TRUNC(H91/0.7,2),TRUNC(H91*0.8,2))-0.27</f>
        <v>12.63</v>
      </c>
      <c r="J91"/>
      <c r="M91" s="48"/>
      <c r="N91" s="48"/>
    </row>
    <row r="92" spans="1:14" s="23" customFormat="1" ht="12.95" customHeight="1">
      <c r="A92" s="28" t="s">
        <v>231</v>
      </c>
      <c r="B92" s="29"/>
      <c r="C92" s="30"/>
      <c r="D92" s="30"/>
      <c r="E92" s="47"/>
      <c r="F92" s="31">
        <v>7245</v>
      </c>
      <c r="G92" s="61" t="s">
        <v>230</v>
      </c>
      <c r="H92" s="33">
        <v>17.71</v>
      </c>
      <c r="I92" s="35">
        <f>IF($L$1&lt;&gt;3,TRUNC(H92/0.7,2),TRUNC(H92*0.8,2))-0.54</f>
        <v>24.76</v>
      </c>
      <c r="M92" s="48"/>
      <c r="N92" s="48"/>
    </row>
    <row r="93" spans="1:14" s="23" customFormat="1" ht="12.95" customHeight="1">
      <c r="A93" s="31">
        <v>310</v>
      </c>
      <c r="B93" s="32" t="s">
        <v>233</v>
      </c>
      <c r="C93" s="33">
        <v>10.14</v>
      </c>
      <c r="D93" s="35">
        <f>IF($L$1&lt;&gt;3,TRUNC(C93/0.7,2),TRUNC(C93*0.8,2))-0.31</f>
        <v>14.17</v>
      </c>
      <c r="E93" s="47"/>
      <c r="F93" s="57" t="s">
        <v>232</v>
      </c>
      <c r="G93" s="58"/>
      <c r="H93" s="59"/>
      <c r="I93" s="60"/>
      <c r="M93" s="48"/>
      <c r="N93" s="48"/>
    </row>
    <row r="94" spans="1:14" s="23" customFormat="1" ht="12.95" customHeight="1">
      <c r="A94" s="39">
        <v>312</v>
      </c>
      <c r="B94" s="32" t="s">
        <v>235</v>
      </c>
      <c r="C94" s="33">
        <v>19.45</v>
      </c>
      <c r="D94" s="35">
        <f>IF($L$1&lt;&gt;3,TRUNC(C94/0.7,2),TRUNC(C94*0.8,2))-0.6</f>
        <v>27.18</v>
      </c>
      <c r="E94" s="47"/>
      <c r="F94" s="31">
        <v>3601</v>
      </c>
      <c r="G94" s="61" t="s">
        <v>234</v>
      </c>
      <c r="H94" s="33">
        <v>7.09</v>
      </c>
      <c r="I94" s="35">
        <f>IF($L$1&lt;&gt;3,TRUNC(H94/0.7,2),TRUNC(H94*0.8,2))-0.21</f>
        <v>9.9099999999999984</v>
      </c>
      <c r="M94" s="48"/>
      <c r="N94" s="48"/>
    </row>
    <row r="95" spans="1:14" s="23" customFormat="1" ht="12.95" customHeight="1">
      <c r="A95" s="28" t="s">
        <v>237</v>
      </c>
      <c r="B95" s="29"/>
      <c r="C95" s="30"/>
      <c r="D95" s="30"/>
      <c r="E95" s="47"/>
      <c r="F95" s="57" t="s">
        <v>236</v>
      </c>
      <c r="G95" s="58"/>
      <c r="H95" s="59"/>
      <c r="I95" s="60"/>
      <c r="M95" s="48"/>
      <c r="N95" s="48"/>
    </row>
    <row r="96" spans="1:14" s="23" customFormat="1" ht="12.95" customHeight="1">
      <c r="A96" s="31">
        <v>604</v>
      </c>
      <c r="B96" s="32" t="s">
        <v>239</v>
      </c>
      <c r="C96" s="33">
        <v>6.05</v>
      </c>
      <c r="D96" s="35">
        <f>IF($L$1&lt;&gt;3,TRUNC(C96/0.7,2),TRUNC(C96*0.8,2))-0.49</f>
        <v>8.15</v>
      </c>
      <c r="E96" s="47"/>
      <c r="F96" s="31">
        <v>7301</v>
      </c>
      <c r="G96" s="61" t="s">
        <v>238</v>
      </c>
      <c r="H96" s="33">
        <v>7.24</v>
      </c>
      <c r="I96" s="35">
        <f>IF($L$1&lt;&gt;3,TRUNC(H96/0.7,2),TRUNC(H96*0.8,2))-0.22</f>
        <v>10.119999999999999</v>
      </c>
      <c r="L96" s="62"/>
      <c r="M96" s="48"/>
      <c r="N96" s="48"/>
    </row>
    <row r="97" spans="1:14" s="23" customFormat="1" ht="12.95" customHeight="1">
      <c r="A97" s="31">
        <v>606</v>
      </c>
      <c r="B97" s="32" t="s">
        <v>241</v>
      </c>
      <c r="C97" s="33">
        <v>78.02</v>
      </c>
      <c r="D97" s="35">
        <f>IF($L$1&lt;&gt;3,TRUNC(C97/0.7,2),TRUNC(C97*0.8,2))-6.36</f>
        <v>105.09</v>
      </c>
      <c r="E97" s="47"/>
      <c r="F97" s="31">
        <v>7302</v>
      </c>
      <c r="G97" s="61" t="s">
        <v>240</v>
      </c>
      <c r="H97" s="33">
        <v>14.48</v>
      </c>
      <c r="I97" s="35">
        <f>IF($L$1&lt;&gt;3,TRUNC(H97/0.7,2),TRUNC(H97*0.8,2))-0.44</f>
        <v>20.239999999999998</v>
      </c>
      <c r="L97" s="62"/>
      <c r="M97" s="48"/>
      <c r="N97" s="48"/>
    </row>
    <row r="98" spans="1:14" s="23" customFormat="1" ht="12.95" customHeight="1">
      <c r="A98" s="31"/>
      <c r="B98" s="32"/>
      <c r="C98" s="37" t="s">
        <v>140</v>
      </c>
      <c r="D98" s="34">
        <f>D97/200*4</f>
        <v>2.1017999999999999</v>
      </c>
      <c r="E98" s="47"/>
      <c r="L98" s="71"/>
      <c r="M98" s="48"/>
      <c r="N98" s="48"/>
    </row>
    <row r="99" spans="1:14" s="23" customFormat="1" ht="12.95" customHeight="1">
      <c r="A99" s="28" t="s">
        <v>242</v>
      </c>
      <c r="B99" s="29"/>
      <c r="C99" s="30"/>
      <c r="D99" s="30"/>
      <c r="E99" s="47"/>
      <c r="L99" s="62"/>
      <c r="M99" s="48"/>
      <c r="N99" s="48"/>
    </row>
    <row r="100" spans="1:14" s="23" customFormat="1" ht="12.95" customHeight="1">
      <c r="A100" s="31">
        <v>8005</v>
      </c>
      <c r="B100" s="32" t="s">
        <v>244</v>
      </c>
      <c r="C100" s="33">
        <v>15.72</v>
      </c>
      <c r="D100" s="35">
        <f>IF($L$1&lt;&gt;3,TRUNC(C100/0.7,2),TRUNC(C100*0.8,2))-1.27</f>
        <v>21.18</v>
      </c>
      <c r="E100" s="47"/>
      <c r="L100" s="71"/>
    </row>
    <row r="101" spans="1:14" s="23" customFormat="1" ht="12.95" customHeight="1">
      <c r="A101" s="31">
        <v>8007</v>
      </c>
      <c r="B101" s="32" t="s">
        <v>245</v>
      </c>
      <c r="C101" s="33">
        <v>14.08</v>
      </c>
      <c r="D101" s="35">
        <f>IF($L$1&lt;&gt;3,TRUNC(C101/0.7,2),TRUNC(C101*0.8,2))-1.14</f>
        <v>18.97</v>
      </c>
      <c r="E101" s="47"/>
      <c r="F101" s="63" t="s">
        <v>243</v>
      </c>
      <c r="G101" s="64"/>
      <c r="H101" s="64"/>
      <c r="I101" s="64"/>
    </row>
    <row r="102" spans="1:14" s="23" customFormat="1" ht="12.95" customHeight="1">
      <c r="A102" s="31">
        <v>8009</v>
      </c>
      <c r="B102" s="32" t="s">
        <v>246</v>
      </c>
      <c r="C102" s="33">
        <v>16.600000000000001</v>
      </c>
      <c r="D102" s="35">
        <f>IF($L$1&lt;&gt;3,TRUNC(C102/0.7,2),TRUNC(C102*0.8,2))-1.35</f>
        <v>22.36</v>
      </c>
      <c r="E102" s="47"/>
      <c r="F102" s="52"/>
      <c r="G102" s="65"/>
      <c r="H102" s="66" t="s">
        <v>81</v>
      </c>
      <c r="I102" s="66" t="s">
        <v>82</v>
      </c>
      <c r="J102" s="68"/>
      <c r="L102" s="71"/>
    </row>
    <row r="103" spans="1:14" s="23" customFormat="1" ht="12.95" customHeight="1">
      <c r="A103" s="28" t="s">
        <v>249</v>
      </c>
      <c r="B103" s="29"/>
      <c r="C103" s="30"/>
      <c r="D103" s="30"/>
      <c r="E103" s="47"/>
      <c r="F103" s="67" t="s">
        <v>83</v>
      </c>
      <c r="G103" s="25" t="s">
        <v>84</v>
      </c>
      <c r="H103" s="26" t="s">
        <v>85</v>
      </c>
      <c r="I103" s="26" t="str">
        <f>IF($L$1&lt;&gt;3,"MÁXIMO","FUNCIONÁRIO")</f>
        <v>MÁXIMO</v>
      </c>
      <c r="K103" s="62">
        <v>0.1</v>
      </c>
    </row>
    <row r="104" spans="1:14" s="23" customFormat="1" ht="12.95" customHeight="1">
      <c r="A104" s="31">
        <v>7926</v>
      </c>
      <c r="B104" s="32" t="s">
        <v>251</v>
      </c>
      <c r="C104" s="33">
        <v>210.28</v>
      </c>
      <c r="D104" s="35">
        <f>IF($L$1&lt;&gt;3,TRUNC(C104/0.7,2),TRUNC(C104*0.8,2))-6.51</f>
        <v>293.89</v>
      </c>
      <c r="E104" s="47"/>
      <c r="F104" s="57" t="s">
        <v>247</v>
      </c>
      <c r="G104" s="58"/>
      <c r="H104" s="59" t="s">
        <v>248</v>
      </c>
      <c r="I104" s="60">
        <v>0.1</v>
      </c>
      <c r="K104" s="62"/>
    </row>
    <row r="105" spans="1:14" s="23" customFormat="1" ht="12.95" customHeight="1">
      <c r="A105" s="31">
        <v>7913</v>
      </c>
      <c r="B105" s="32" t="s">
        <v>253</v>
      </c>
      <c r="C105" s="33">
        <v>547.38</v>
      </c>
      <c r="D105" s="35">
        <f>IF($L$1&lt;&gt;3,TRUNC(C105/0.7,2),TRUNC(C105*0.8,2))-16.95</f>
        <v>765.02</v>
      </c>
      <c r="E105" s="47"/>
      <c r="F105" s="69">
        <v>9505</v>
      </c>
      <c r="G105" s="61" t="s">
        <v>250</v>
      </c>
      <c r="H105" s="33">
        <v>2.5299999999999998</v>
      </c>
      <c r="I105" s="70">
        <f>IF($L$1&lt;&gt;3,TRUNC((ROUND(H105*(1+K103),2))/0.7,2),TRUNC(TRUNC(H105*0.8,2)*(1+K103),2))</f>
        <v>3.97</v>
      </c>
      <c r="K105" s="71">
        <v>0.2</v>
      </c>
    </row>
    <row r="106" spans="1:14" s="23" customFormat="1" ht="12.95" customHeight="1">
      <c r="E106" s="47"/>
      <c r="F106" s="57" t="s">
        <v>252</v>
      </c>
      <c r="G106" s="58"/>
      <c r="H106" s="59" t="s">
        <v>248</v>
      </c>
      <c r="I106" s="60">
        <v>0.2</v>
      </c>
      <c r="K106" s="62"/>
    </row>
    <row r="107" spans="1:14" s="23" customFormat="1" ht="12.95" customHeight="1">
      <c r="E107" s="47"/>
      <c r="F107" s="69">
        <v>1880</v>
      </c>
      <c r="G107" s="61" t="s">
        <v>254</v>
      </c>
      <c r="H107" s="33">
        <v>6.9</v>
      </c>
      <c r="I107" s="70">
        <f>IF($L$1&lt;&gt;3,TRUNC((ROUND(H107*(1+K105),2))/0.7,2),TRUNC(TRUNC(H107*0.8,2)*(1+K105),2))</f>
        <v>11.82</v>
      </c>
      <c r="K107" s="71">
        <v>0.2</v>
      </c>
    </row>
    <row r="108" spans="1:14" s="23" customFormat="1" ht="12.95" customHeight="1">
      <c r="A108" s="63" t="s">
        <v>256</v>
      </c>
      <c r="B108" s="64"/>
      <c r="C108" s="64"/>
      <c r="D108" s="64"/>
      <c r="E108" s="47"/>
      <c r="F108" s="57" t="s">
        <v>255</v>
      </c>
      <c r="G108" s="58"/>
      <c r="H108" s="59" t="s">
        <v>248</v>
      </c>
      <c r="I108" s="60">
        <v>0.2</v>
      </c>
    </row>
    <row r="109" spans="1:14" s="23" customFormat="1" ht="12.95" customHeight="1">
      <c r="A109" s="52"/>
      <c r="B109" s="53"/>
      <c r="C109" s="49" t="s">
        <v>81</v>
      </c>
      <c r="D109" s="49" t="s">
        <v>82</v>
      </c>
      <c r="E109" s="47"/>
      <c r="F109" s="69">
        <v>1882</v>
      </c>
      <c r="G109" s="61" t="s">
        <v>254</v>
      </c>
      <c r="H109" s="33">
        <v>6.9</v>
      </c>
      <c r="I109" s="70">
        <f>IF($L$1&lt;&gt;3,TRUNC((ROUND(H109*(1+K107),2))/0.7,2),TRUNC(TRUNC(H109*0.8,2)*(1+K107),2))</f>
        <v>11.82</v>
      </c>
      <c r="K109" s="71">
        <v>0.2</v>
      </c>
    </row>
    <row r="110" spans="1:14" s="23" customFormat="1" ht="12.95" customHeight="1">
      <c r="A110" s="54" t="s">
        <v>83</v>
      </c>
      <c r="B110" s="55" t="s">
        <v>84</v>
      </c>
      <c r="C110" s="56" t="s">
        <v>85</v>
      </c>
      <c r="D110" s="56" t="str">
        <f>IF($L$1&lt;&gt;3,"MÁXIMO","FUNCIONÁRIO")</f>
        <v>MÁXIMO</v>
      </c>
      <c r="E110" s="47"/>
      <c r="F110" s="57" t="s">
        <v>257</v>
      </c>
      <c r="G110" s="58"/>
      <c r="H110" s="59" t="s">
        <v>248</v>
      </c>
      <c r="I110" s="60">
        <v>0.2</v>
      </c>
    </row>
    <row r="111" spans="1:14" s="23" customFormat="1" ht="12.95" customHeight="1">
      <c r="A111" s="28" t="s">
        <v>280</v>
      </c>
      <c r="B111" s="40"/>
      <c r="C111" s="41"/>
      <c r="D111" s="41"/>
      <c r="E111" s="47"/>
      <c r="F111" s="72">
        <v>1867</v>
      </c>
      <c r="G111" s="38" t="s">
        <v>258</v>
      </c>
      <c r="H111" s="33">
        <v>8.06</v>
      </c>
      <c r="I111" s="70">
        <f>IF($L$1&lt;&gt;3,TRUNC((ROUND(H111*(1+K109),2))/0.7,2),TRUNC(TRUNC(H111*0.8,2)*(1+K109),2))</f>
        <v>13.81</v>
      </c>
    </row>
    <row r="112" spans="1:14" s="23" customFormat="1" ht="12.95" customHeight="1">
      <c r="A112" s="31">
        <v>5115</v>
      </c>
      <c r="B112" s="32" t="s">
        <v>259</v>
      </c>
      <c r="C112" s="33">
        <v>22.39</v>
      </c>
      <c r="D112" s="35">
        <f>IF($L$1&lt;&gt;3,TRUNC(C112/0.7,2),TRUNC(C112*0.8,2))</f>
        <v>31.98</v>
      </c>
      <c r="E112" s="47"/>
    </row>
    <row r="113" spans="1:12" s="23" customFormat="1" ht="12.95" customHeight="1">
      <c r="A113" s="31">
        <v>5116</v>
      </c>
      <c r="B113" s="32" t="s">
        <v>261</v>
      </c>
      <c r="C113" s="33">
        <v>23.51</v>
      </c>
      <c r="D113" s="35">
        <f>IF($L$1&lt;&gt;3,TRUNC(C113/0.7,2),TRUNC(C113*0.8,2))-1.91</f>
        <v>31.669999999999998</v>
      </c>
      <c r="E113" s="47"/>
      <c r="F113" s="63" t="s">
        <v>260</v>
      </c>
      <c r="G113" s="64"/>
      <c r="H113" s="64"/>
      <c r="I113" s="64"/>
    </row>
    <row r="114" spans="1:12" s="23" customFormat="1" ht="12.95" customHeight="1">
      <c r="A114" s="28" t="s">
        <v>262</v>
      </c>
      <c r="B114" s="29"/>
      <c r="C114" s="30"/>
      <c r="D114" s="30"/>
      <c r="E114" s="47"/>
      <c r="F114" s="52"/>
      <c r="G114" s="53"/>
      <c r="H114" s="49" t="s">
        <v>81</v>
      </c>
      <c r="I114" s="49" t="s">
        <v>82</v>
      </c>
    </row>
    <row r="115" spans="1:12" s="23" customFormat="1" ht="12.95" customHeight="1">
      <c r="A115" s="31">
        <v>4606</v>
      </c>
      <c r="B115" s="32" t="s">
        <v>263</v>
      </c>
      <c r="C115" s="33">
        <v>7.22</v>
      </c>
      <c r="D115" s="35">
        <f>IF($L$1&lt;&gt;3,TRUNC(C115/0.7,2),TRUNC(C115*0.8,2))-0.22</f>
        <v>10.09</v>
      </c>
      <c r="E115" s="47"/>
      <c r="F115" s="54" t="s">
        <v>83</v>
      </c>
      <c r="G115" s="55" t="s">
        <v>84</v>
      </c>
      <c r="H115" s="56" t="s">
        <v>85</v>
      </c>
      <c r="I115" s="56" t="str">
        <f>IF($L$1&lt;&gt;3,"MÁXIMO","FUNCIONÁRIO")</f>
        <v>MÁXIMO</v>
      </c>
    </row>
    <row r="116" spans="1:12" s="23" customFormat="1" ht="12.95" customHeight="1">
      <c r="A116" s="31">
        <v>4619</v>
      </c>
      <c r="B116" s="32" t="s">
        <v>264</v>
      </c>
      <c r="C116" s="33">
        <v>10.35</v>
      </c>
      <c r="D116" s="35">
        <f>IF($L$1&lt;&gt;3,TRUNC(C116/0.7,2),TRUNC(C116*0.8,2))-0.31</f>
        <v>14.469999999999999</v>
      </c>
      <c r="E116" s="47"/>
      <c r="F116" s="28" t="s">
        <v>242</v>
      </c>
      <c r="G116" s="40"/>
      <c r="H116" s="41"/>
      <c r="I116" s="41"/>
    </row>
    <row r="117" spans="1:12" s="23" customFormat="1" ht="12.95" customHeight="1">
      <c r="E117" s="47"/>
      <c r="F117" s="31">
        <v>8001</v>
      </c>
      <c r="G117" s="32" t="s">
        <v>275</v>
      </c>
      <c r="H117" s="33">
        <v>10.23</v>
      </c>
      <c r="I117" s="35">
        <f>IF($L$1&lt;&gt;3,TRUNC(H117/0.7,2),TRUNC(H117*0.8,2))</f>
        <v>14.61</v>
      </c>
      <c r="J117" s="68"/>
      <c r="K117" s="68"/>
    </row>
    <row r="118" spans="1:12" s="68" customFormat="1" ht="12.95" customHeight="1">
      <c r="A118" s="63" t="s">
        <v>265</v>
      </c>
      <c r="B118" s="64"/>
      <c r="C118" s="64"/>
      <c r="D118" s="64"/>
      <c r="E118" s="47"/>
      <c r="F118" s="31">
        <v>8002</v>
      </c>
      <c r="G118" s="32" t="s">
        <v>276</v>
      </c>
      <c r="H118" s="33">
        <v>11.669</v>
      </c>
      <c r="I118" s="35">
        <f>IF($L$1&lt;&gt;3,TRUNC(H118/0.7,2),TRUNC(H118*0.8,2))</f>
        <v>16.670000000000002</v>
      </c>
      <c r="J118" s="23"/>
      <c r="K118" s="23"/>
      <c r="L118" s="23"/>
    </row>
    <row r="119" spans="1:12" s="23" customFormat="1" ht="12.95" customHeight="1">
      <c r="A119" s="52"/>
      <c r="B119" s="53"/>
      <c r="C119" s="49" t="s">
        <v>81</v>
      </c>
      <c r="D119" s="49" t="s">
        <v>82</v>
      </c>
      <c r="F119" s="31">
        <v>8003</v>
      </c>
      <c r="G119" s="32" t="s">
        <v>277</v>
      </c>
      <c r="H119" s="34">
        <v>9.6739999999999995</v>
      </c>
      <c r="I119" s="35">
        <f>IF($L$1&lt;&gt;3,TRUNC(H119/0.7,2),TRUNC(H119*0.8,2))</f>
        <v>13.82</v>
      </c>
    </row>
    <row r="120" spans="1:12" s="23" customFormat="1" ht="12.95" customHeight="1">
      <c r="A120" s="54" t="s">
        <v>83</v>
      </c>
      <c r="B120" s="55" t="s">
        <v>84</v>
      </c>
      <c r="C120" s="56" t="s">
        <v>85</v>
      </c>
      <c r="D120" s="56" t="str">
        <f>IF($L$1&lt;&gt;3,"MÁXIMO","FUNCIONÁRIO")</f>
        <v>MÁXIMO</v>
      </c>
      <c r="F120" s="31">
        <v>8004</v>
      </c>
      <c r="G120" s="32" t="s">
        <v>278</v>
      </c>
      <c r="H120" s="33">
        <v>10.003</v>
      </c>
      <c r="I120" s="35">
        <f>IF($L$1&lt;&gt;3,TRUNC(H120/0.7,2),TRUNC(H120*0.8,2))</f>
        <v>14.29</v>
      </c>
    </row>
    <row r="121" spans="1:12" s="23" customFormat="1" ht="12.95" customHeight="1">
      <c r="A121" s="28" t="s">
        <v>266</v>
      </c>
      <c r="B121" s="29"/>
      <c r="C121" s="30"/>
      <c r="D121" s="30"/>
      <c r="E121" s="47"/>
    </row>
    <row r="122" spans="1:12" s="23" customFormat="1">
      <c r="A122" s="31">
        <v>1900</v>
      </c>
      <c r="B122" s="32" t="s">
        <v>267</v>
      </c>
      <c r="C122" s="33">
        <v>19.72</v>
      </c>
      <c r="D122" s="35">
        <v>26.57</v>
      </c>
      <c r="E122" s="47"/>
      <c r="F122" s="73" t="str">
        <f>"(1) Produtos não controlados"</f>
        <v>(1) Produtos não controlados</v>
      </c>
      <c r="G122" s="32"/>
    </row>
    <row r="123" spans="1:12" s="23" customFormat="1" ht="15" customHeight="1">
      <c r="A123" s="31">
        <v>1901</v>
      </c>
      <c r="B123" s="32" t="s">
        <v>268</v>
      </c>
      <c r="C123" s="33">
        <v>36.44</v>
      </c>
      <c r="D123" s="35">
        <v>49.08</v>
      </c>
      <c r="E123"/>
      <c r="F123" s="73" t="str">
        <f>"(2) Preço Sugestão com IPI incluido"</f>
        <v>(2) Preço Sugestão com IPI incluido</v>
      </c>
      <c r="G123" s="2"/>
      <c r="J123" s="68"/>
    </row>
    <row r="124" spans="1:12" s="23" customFormat="1" ht="15" customHeight="1">
      <c r="E124"/>
      <c r="F124" s="73"/>
      <c r="G124" s="2"/>
      <c r="J124" s="68"/>
    </row>
    <row r="125" spans="1:12" s="23" customFormat="1" ht="15" customHeight="1">
      <c r="A125" s="31"/>
      <c r="B125" s="32"/>
      <c r="C125" s="33"/>
      <c r="D125" s="35"/>
      <c r="E125"/>
      <c r="F125"/>
      <c r="G125"/>
      <c r="H125"/>
      <c r="I125"/>
    </row>
    <row r="126" spans="1:12" s="23" customFormat="1">
      <c r="A126" s="74" t="s">
        <v>269</v>
      </c>
      <c r="B126"/>
      <c r="C126"/>
      <c r="D126"/>
      <c r="E126" s="47"/>
      <c r="F126"/>
      <c r="G126"/>
      <c r="H126"/>
      <c r="I126"/>
      <c r="K126" s="71">
        <v>0.2</v>
      </c>
    </row>
    <row r="127" spans="1:12" s="23" customFormat="1" ht="15">
      <c r="A127" s="75" t="s">
        <v>271</v>
      </c>
      <c r="B127" s="2"/>
      <c r="C127" s="76"/>
      <c r="D127" s="77"/>
      <c r="E127" s="47"/>
      <c r="F127"/>
      <c r="G127"/>
      <c r="H127"/>
      <c r="I127"/>
    </row>
    <row r="128" spans="1:12" s="23" customFormat="1">
      <c r="B128" s="2"/>
      <c r="C128" s="76"/>
      <c r="D128" s="76"/>
      <c r="E128" s="47"/>
      <c r="F128"/>
      <c r="G128"/>
      <c r="H128"/>
      <c r="I128"/>
    </row>
    <row r="129" spans="1:11" s="23" customFormat="1">
      <c r="A129"/>
      <c r="B129"/>
      <c r="C129"/>
      <c r="D129"/>
      <c r="E129" s="47"/>
      <c r="F129"/>
      <c r="G129"/>
      <c r="H129"/>
      <c r="I129"/>
    </row>
    <row r="130" spans="1:11" s="23" customFormat="1" ht="9" customHeight="1">
      <c r="A130"/>
      <c r="B130"/>
      <c r="C130"/>
      <c r="D130"/>
      <c r="E130"/>
    </row>
    <row r="131" spans="1:11" s="23" customFormat="1">
      <c r="A131"/>
      <c r="B131"/>
      <c r="C131"/>
      <c r="D131"/>
      <c r="E131"/>
      <c r="F131" s="73"/>
      <c r="G131"/>
    </row>
    <row r="132" spans="1:11">
      <c r="A132" s="31"/>
      <c r="B132" s="32"/>
      <c r="C132" s="35"/>
      <c r="D132" s="35"/>
      <c r="F132" s="73"/>
      <c r="H132" s="23"/>
      <c r="I132" s="23"/>
      <c r="J132" s="68"/>
      <c r="K132" s="68"/>
    </row>
    <row r="133" spans="1:11">
      <c r="A133"/>
      <c r="B133"/>
      <c r="C133"/>
      <c r="D133"/>
      <c r="F133" s="23"/>
      <c r="G133" s="23"/>
      <c r="H133" s="23"/>
      <c r="I133" s="23"/>
      <c r="J133" s="23"/>
      <c r="K133" s="23"/>
    </row>
    <row r="134" spans="1:11">
      <c r="A134"/>
      <c r="B134"/>
      <c r="C134"/>
      <c r="D134"/>
      <c r="F134" s="68"/>
      <c r="G134" s="68"/>
      <c r="H134" s="68"/>
      <c r="I134" s="68"/>
      <c r="J134" s="23"/>
      <c r="K134" s="23"/>
    </row>
    <row r="135" spans="1:11">
      <c r="A135" s="31"/>
      <c r="B135" s="32"/>
      <c r="C135" s="35"/>
      <c r="D135" s="35"/>
      <c r="F135" s="23"/>
      <c r="G135" s="23"/>
      <c r="H135" s="23"/>
      <c r="I135" s="23"/>
      <c r="J135" s="23"/>
      <c r="K135" s="23"/>
    </row>
    <row r="136" spans="1:11" ht="15">
      <c r="A136" s="85"/>
      <c r="C136" s="76"/>
      <c r="D136" s="77"/>
      <c r="F136" s="23"/>
      <c r="G136" s="23"/>
      <c r="H136" s="23"/>
      <c r="I136" s="23"/>
      <c r="J136" s="23"/>
      <c r="K136" s="23"/>
    </row>
    <row r="137" spans="1:11">
      <c r="A137" s="86"/>
      <c r="C137" s="76"/>
      <c r="D137" s="76"/>
      <c r="F137" s="23"/>
      <c r="G137" s="23"/>
      <c r="H137" s="23"/>
      <c r="I137" s="23"/>
      <c r="J137" s="23"/>
      <c r="K137" s="23"/>
    </row>
    <row r="138" spans="1:11">
      <c r="A138" s="31"/>
      <c r="B138" s="32"/>
      <c r="C138" s="35"/>
      <c r="D138" s="35"/>
      <c r="F138" s="23"/>
      <c r="G138" s="23"/>
      <c r="H138" s="23"/>
      <c r="I138" s="23"/>
      <c r="J138" s="23"/>
      <c r="K138" s="23"/>
    </row>
    <row r="139" spans="1:11">
      <c r="A139" s="31"/>
      <c r="B139" s="32"/>
      <c r="C139" s="35"/>
      <c r="D139" s="35"/>
      <c r="F139" s="23"/>
      <c r="G139" s="23"/>
      <c r="H139" s="23"/>
      <c r="I139" s="23"/>
      <c r="J139" s="68"/>
      <c r="K139" s="71"/>
    </row>
    <row r="140" spans="1:11">
      <c r="A140"/>
      <c r="B140"/>
      <c r="C140"/>
      <c r="D140"/>
      <c r="F140" s="23"/>
      <c r="G140" s="23"/>
      <c r="H140" s="23"/>
      <c r="I140" s="23"/>
      <c r="J140" s="68"/>
      <c r="K140" s="71"/>
    </row>
    <row r="141" spans="1:11">
      <c r="A141"/>
      <c r="B141"/>
      <c r="C141"/>
      <c r="D141"/>
      <c r="F141" s="23"/>
      <c r="G141" s="23"/>
      <c r="H141" s="23"/>
      <c r="I141" s="23"/>
    </row>
    <row r="142" spans="1:11">
      <c r="A142"/>
      <c r="B142"/>
      <c r="C142"/>
      <c r="D142"/>
      <c r="F142" s="23"/>
      <c r="G142" s="23"/>
      <c r="H142" s="23"/>
      <c r="I142" s="23"/>
    </row>
    <row r="143" spans="1:11">
      <c r="A143"/>
      <c r="B143"/>
      <c r="C143"/>
      <c r="D143"/>
      <c r="F143" s="23"/>
      <c r="G143" s="23"/>
      <c r="H143" s="23"/>
      <c r="I143" s="23"/>
    </row>
    <row r="144" spans="1:11">
      <c r="A144"/>
      <c r="B144"/>
      <c r="C144"/>
      <c r="D144"/>
      <c r="F144" s="23"/>
      <c r="G144" s="23"/>
      <c r="H144" s="23"/>
      <c r="I144" s="23"/>
    </row>
    <row r="145" spans="6:11">
      <c r="F145" s="23"/>
      <c r="G145" s="23"/>
      <c r="H145" s="23"/>
      <c r="I145" s="23"/>
    </row>
    <row r="146" spans="6:11">
      <c r="F146" s="23"/>
      <c r="G146" s="23"/>
      <c r="H146" s="23"/>
      <c r="I146" s="23"/>
    </row>
    <row r="147" spans="6:11">
      <c r="F147" s="23"/>
      <c r="G147" s="23"/>
      <c r="H147" s="23"/>
      <c r="I147" s="23"/>
      <c r="J147" s="68"/>
      <c r="K147" s="71"/>
    </row>
    <row r="148" spans="6:11">
      <c r="F148" s="23"/>
      <c r="G148" s="23"/>
      <c r="H148" s="23"/>
      <c r="I148" s="23"/>
      <c r="J148" s="23"/>
      <c r="K148" s="23"/>
    </row>
    <row r="149" spans="6:11">
      <c r="F149" s="23"/>
      <c r="G149" s="23"/>
      <c r="H149" s="23"/>
      <c r="I149" s="23"/>
      <c r="J149" s="23"/>
      <c r="K149" s="23"/>
    </row>
    <row r="150" spans="6:11">
      <c r="F150" s="23"/>
      <c r="G150" s="23"/>
      <c r="H150" s="23"/>
      <c r="I150" s="23"/>
      <c r="K150" s="23"/>
    </row>
    <row r="151" spans="6:11">
      <c r="F151" s="23"/>
      <c r="G151" s="23"/>
      <c r="H151" s="23"/>
      <c r="I151" s="23"/>
      <c r="K151" s="23"/>
    </row>
    <row r="152" spans="6:11">
      <c r="F152" s="23"/>
      <c r="G152" s="23"/>
      <c r="H152" s="23"/>
      <c r="I152" s="23"/>
    </row>
    <row r="153" spans="6:11">
      <c r="F153" s="23"/>
      <c r="G153" s="23"/>
      <c r="H153" s="23"/>
      <c r="I153" s="23"/>
    </row>
    <row r="154" spans="6:11">
      <c r="F154" s="23"/>
      <c r="G154" s="23"/>
      <c r="H154" s="23"/>
      <c r="I154" s="23"/>
    </row>
    <row r="155" spans="6:11">
      <c r="F155" s="73"/>
      <c r="H155"/>
      <c r="I155"/>
    </row>
    <row r="156" spans="6:11">
      <c r="F156"/>
      <c r="H156"/>
      <c r="I156"/>
    </row>
    <row r="157" spans="6:11">
      <c r="H157"/>
      <c r="I157"/>
    </row>
    <row r="158" spans="6:11">
      <c r="H158"/>
      <c r="I158"/>
    </row>
    <row r="159" spans="6:11">
      <c r="F159"/>
      <c r="H159"/>
      <c r="I159"/>
    </row>
    <row r="160" spans="6:11">
      <c r="F160"/>
      <c r="I160"/>
    </row>
    <row r="161" spans="6:9">
      <c r="F161"/>
    </row>
    <row r="162" spans="6:9">
      <c r="F162"/>
      <c r="H162"/>
      <c r="I162"/>
    </row>
    <row r="163" spans="6:9">
      <c r="F163"/>
      <c r="H163" s="87"/>
      <c r="I163" s="70"/>
    </row>
    <row r="164" spans="6:9">
      <c r="F164"/>
      <c r="H164" s="87"/>
      <c r="I164" s="70"/>
    </row>
    <row r="165" spans="6:9">
      <c r="F165"/>
      <c r="H165"/>
      <c r="I165"/>
    </row>
    <row r="166" spans="6:9">
      <c r="I166"/>
    </row>
    <row r="168" spans="6:9">
      <c r="F168"/>
      <c r="H168"/>
      <c r="I168"/>
    </row>
    <row r="169" spans="6:9">
      <c r="F169"/>
      <c r="H169"/>
      <c r="I169"/>
    </row>
    <row r="170" spans="6:9">
      <c r="F170"/>
      <c r="H170"/>
      <c r="I170"/>
    </row>
    <row r="171" spans="6:9">
      <c r="F171"/>
      <c r="H171" s="87"/>
      <c r="I171" s="70"/>
    </row>
    <row r="172" spans="6:9">
      <c r="F172"/>
      <c r="H172"/>
      <c r="I172"/>
    </row>
    <row r="173" spans="6:9">
      <c r="F173"/>
      <c r="H173"/>
      <c r="I173"/>
    </row>
    <row r="174" spans="6:9">
      <c r="F174"/>
      <c r="H174"/>
      <c r="I174"/>
    </row>
  </sheetData>
  <phoneticPr fontId="8" type="noConversion"/>
  <pageMargins left="0" right="0" top="0.59055118110236227" bottom="0" header="0.59055118110236227" footer="0.19685039370078741"/>
  <pageSetup paperSize="9" scale="73" orientation="portrait" horizontalDpi="300" verticalDpi="300" r:id="rId1"/>
  <headerFooter alignWithMargins="0">
    <oddFooter>&amp;CPágina &amp;P/&amp;N</oddFooter>
  </headerFooter>
  <rowBreaks count="1" manualBreakCount="1">
    <brk id="72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Button 7">
              <controlPr defaultSize="0" print="0" autoFill="0" autoLine="0" autoPict="0" macro="[3]!Macro">
                <anchor moveWithCells="1">
                  <from>
                    <xdr:col>9</xdr:col>
                    <xdr:colOff>28575</xdr:colOff>
                    <xdr:row>0</xdr:row>
                    <xdr:rowOff>28575</xdr:rowOff>
                  </from>
                  <to>
                    <xdr:col>9</xdr:col>
                    <xdr:colOff>695325</xdr:colOff>
                    <xdr:row>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CONSOLIDADA</vt:lpstr>
      <vt:lpstr>LISTA CMC</vt:lpstr>
      <vt:lpstr>LISTA GENERICOS</vt:lpstr>
      <vt:lpstr>LISTA ONCO</vt:lpstr>
      <vt:lpstr>LISTA BIOTECH</vt:lpstr>
      <vt:lpstr>LISTA CH</vt:lpstr>
      <vt:lpstr>LISTA NOVA 17% ICMS - FARMA</vt:lpstr>
      <vt:lpstr>LISTA NOVA 12% ICMS - FARMA</vt:lpstr>
      <vt:lpstr>'LISTA NOVA 12% ICMS - FARMA'!Area_de_impressao</vt:lpstr>
      <vt:lpstr>'LISTA NOVA 17% ICMS - FARMA'!Area_de_impressao</vt:lpstr>
      <vt:lpstr>'LISTA NOVA 12% ICMS - FARMA'!Titulos_de_impressao</vt:lpstr>
      <vt:lpstr>'LISTA NOVA 17% ICMS - FARMA'!Titulos_de_impressao</vt:lpstr>
    </vt:vector>
  </TitlesOfParts>
  <Company>Merck S.A. Industrias Quimicas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WSXXXX</dc:creator>
  <cp:lastModifiedBy>Paulo Souza</cp:lastModifiedBy>
  <cp:lastPrinted>2016-03-28T19:57:20Z</cp:lastPrinted>
  <dcterms:created xsi:type="dcterms:W3CDTF">2001-05-03T16:41:34Z</dcterms:created>
  <dcterms:modified xsi:type="dcterms:W3CDTF">2017-04-03T12:57:20Z</dcterms:modified>
</cp:coreProperties>
</file>